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15" windowHeight="8205" tabRatio="696" activeTab="1"/>
  </bookViews>
  <sheets>
    <sheet name="Planilha de Composição - Resumo" sheetId="1" r:id="rId1"/>
    <sheet name="Modelo Cardápio 30 dias" sheetId="2" r:id="rId2"/>
    <sheet name="Matéria-prima Alimentar" sheetId="3" r:id="rId3"/>
    <sheet name="Matéria-prima Não Alimentar" sheetId="4" r:id="rId4"/>
    <sheet name="Despesas Diversas" sheetId="5" r:id="rId5"/>
    <sheet name="Equipamentos" sheetId="6" r:id="rId6"/>
    <sheet name="Custos com transporte" sheetId="7" r:id="rId7"/>
    <sheet name="Mão de Obra" sheetId="8" r:id="rId8"/>
  </sheets>
  <definedNames/>
  <calcPr fullCalcOnLoad="1"/>
</workbook>
</file>

<file path=xl/sharedStrings.xml><?xml version="1.0" encoding="utf-8"?>
<sst xmlns="http://schemas.openxmlformats.org/spreadsheetml/2006/main" count="1458" uniqueCount="448">
  <si>
    <t>Unid.</t>
  </si>
  <si>
    <t>Frequência de Utilização</t>
  </si>
  <si>
    <t>Quantidade</t>
  </si>
  <si>
    <t>Total per Capita Peso Bruto (in natura)</t>
  </si>
  <si>
    <t xml:space="preserve">Consumo Per Capita Mensal </t>
  </si>
  <si>
    <t>Custo Unitário</t>
  </si>
  <si>
    <t>Custo Mensal</t>
  </si>
  <si>
    <t>Gênero/Produto 
Alimentício</t>
  </si>
  <si>
    <t>Achocolatado</t>
  </si>
  <si>
    <t>Pão "careca"</t>
  </si>
  <si>
    <t>Bolo</t>
  </si>
  <si>
    <t>Refeição</t>
  </si>
  <si>
    <t>Café da Manhã</t>
  </si>
  <si>
    <t>Arroz</t>
  </si>
  <si>
    <t>Carne Suína</t>
  </si>
  <si>
    <t>Peixe</t>
  </si>
  <si>
    <t>Ovo de galinha</t>
  </si>
  <si>
    <t>Abobrinha</t>
  </si>
  <si>
    <t>Cenoura</t>
  </si>
  <si>
    <t>Chuchu</t>
  </si>
  <si>
    <t>Vagem</t>
  </si>
  <si>
    <t>Beterraba</t>
  </si>
  <si>
    <t>Berinjela</t>
  </si>
  <si>
    <t>Farofa</t>
  </si>
  <si>
    <t>Macarrão</t>
  </si>
  <si>
    <t>Batata</t>
  </si>
  <si>
    <t>Mandioca</t>
  </si>
  <si>
    <t>Caixa 200ml</t>
  </si>
  <si>
    <t>ml</t>
  </si>
  <si>
    <t>Manteiga</t>
  </si>
  <si>
    <t>Valores Referenciais das Refeições</t>
  </si>
  <si>
    <t>Café da manhã</t>
  </si>
  <si>
    <t>Almoço</t>
  </si>
  <si>
    <t>Jantar</t>
  </si>
  <si>
    <t>Lanche da noite</t>
  </si>
  <si>
    <t>Item</t>
  </si>
  <si>
    <t>Valor unitário</t>
  </si>
  <si>
    <t>Quantidade de refeições</t>
  </si>
  <si>
    <t>Diárias</t>
  </si>
  <si>
    <t>Mensais</t>
  </si>
  <si>
    <t>Contrato</t>
  </si>
  <si>
    <t>Valor Estimado</t>
  </si>
  <si>
    <t>Matéria-prima alimentar</t>
  </si>
  <si>
    <t>Total diário de gêneros alimentícios</t>
  </si>
  <si>
    <t>Total estimado</t>
  </si>
  <si>
    <t>Matéria-prima não alimentar</t>
  </si>
  <si>
    <t>Custo unitário diário por interno</t>
  </si>
  <si>
    <t>Despesas diversas</t>
  </si>
  <si>
    <t>Produtos para higienização e limpeza</t>
  </si>
  <si>
    <t>Despesas com manutenção de instalações</t>
  </si>
  <si>
    <t>Despesa com controle integrado de pragas</t>
  </si>
  <si>
    <t>Análise microbiológica dos alimentos preparados</t>
  </si>
  <si>
    <t>Equipamentos</t>
  </si>
  <si>
    <t>Utensílios</t>
  </si>
  <si>
    <t>Despesas com água</t>
  </si>
  <si>
    <t>Despesas com gás</t>
  </si>
  <si>
    <t>Despesas com energia</t>
  </si>
  <si>
    <t>Total com despesas diversas</t>
  </si>
  <si>
    <t>Transporte das refeições preparadas</t>
  </si>
  <si>
    <t>Valor unitário por viagem</t>
  </si>
  <si>
    <t>Suco</t>
  </si>
  <si>
    <t>Almoço e jantar</t>
  </si>
  <si>
    <t>Fruta</t>
  </si>
  <si>
    <t>Doce</t>
  </si>
  <si>
    <t>Biscoito</t>
  </si>
  <si>
    <t>Unidades</t>
  </si>
  <si>
    <t>Gramas</t>
  </si>
  <si>
    <t>Porção 200g</t>
  </si>
  <si>
    <t>Porção 150g</t>
  </si>
  <si>
    <t>Porção 100g</t>
  </si>
  <si>
    <t>Porção</t>
  </si>
  <si>
    <t>Polenta</t>
  </si>
  <si>
    <t>Batata doce</t>
  </si>
  <si>
    <t>Seleta de legumes</t>
  </si>
  <si>
    <t>Cuscuz de legumes</t>
  </si>
  <si>
    <t>Grãos</t>
  </si>
  <si>
    <t>Guarnições</t>
  </si>
  <si>
    <t>Tipo</t>
  </si>
  <si>
    <t>Líquidos</t>
  </si>
  <si>
    <t>Quiabo</t>
  </si>
  <si>
    <t>Torta</t>
  </si>
  <si>
    <t>Abóbora</t>
  </si>
  <si>
    <t>Lanche noturno</t>
  </si>
  <si>
    <t>Banana</t>
  </si>
  <si>
    <t>Pêra</t>
  </si>
  <si>
    <t>Maçã</t>
  </si>
  <si>
    <t>Goiaba</t>
  </si>
  <si>
    <t>Melão</t>
  </si>
  <si>
    <t>Melancia</t>
  </si>
  <si>
    <t>Manga</t>
  </si>
  <si>
    <t>Goiabada</t>
  </si>
  <si>
    <t>Paçoca</t>
  </si>
  <si>
    <t>Bananada</t>
  </si>
  <si>
    <t>Pé de moleque</t>
  </si>
  <si>
    <t>Cajuzinho</t>
  </si>
  <si>
    <t>Doce de leite</t>
  </si>
  <si>
    <t>Rapadura</t>
  </si>
  <si>
    <t>Cocada</t>
  </si>
  <si>
    <t>Frios</t>
  </si>
  <si>
    <t>Queijo mussarela</t>
  </si>
  <si>
    <t>Queijo branco</t>
  </si>
  <si>
    <t>Queijo prato</t>
  </si>
  <si>
    <t>Presunto</t>
  </si>
  <si>
    <t>Peito de peru</t>
  </si>
  <si>
    <t>Mortadela</t>
  </si>
  <si>
    <t>50g</t>
  </si>
  <si>
    <t>Unidade de 50g</t>
  </si>
  <si>
    <t>Pães</t>
  </si>
  <si>
    <t>Água e sal</t>
  </si>
  <si>
    <t>Integral</t>
  </si>
  <si>
    <t>Maisena</t>
  </si>
  <si>
    <t>Pimentão</t>
  </si>
  <si>
    <t>20g</t>
  </si>
  <si>
    <t>130g</t>
  </si>
  <si>
    <t>133g</t>
  </si>
  <si>
    <t>86g</t>
  </si>
  <si>
    <t>118g</t>
  </si>
  <si>
    <t>115g</t>
  </si>
  <si>
    <t>100g</t>
  </si>
  <si>
    <t>Abacaxi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</si>
  <si>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</si>
  <si>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</si>
  <si>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</si>
  <si>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</si>
  <si>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</si>
  <si>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</si>
  <si>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</si>
  <si>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Modelo Cardápio 30 dias</t>
  </si>
  <si>
    <t>A.</t>
  </si>
  <si>
    <t>B.</t>
  </si>
  <si>
    <t>C.</t>
  </si>
  <si>
    <t>D.</t>
  </si>
  <si>
    <t>E.</t>
  </si>
  <si>
    <t>Dia da semana</t>
  </si>
  <si>
    <t>Dia do mês</t>
  </si>
  <si>
    <t>2 pães careca</t>
  </si>
  <si>
    <t>1 bolo e 1 pão careca</t>
  </si>
  <si>
    <t>1 bolo e 1 pão de sal</t>
  </si>
  <si>
    <t>1 pão de sal e 1 pão careca</t>
  </si>
  <si>
    <t>2 pães de sal</t>
  </si>
  <si>
    <t>Feijão carioca</t>
  </si>
  <si>
    <t>Feijão preto</t>
  </si>
  <si>
    <t>Pão "de sal"</t>
  </si>
  <si>
    <t>Lingüiça calabresa</t>
  </si>
  <si>
    <t>Lingüiça de frango</t>
  </si>
  <si>
    <t>2 pães careca Mortadela</t>
  </si>
  <si>
    <t>2 pães de sal Mortadela</t>
  </si>
  <si>
    <t>2 pães de sal Peito de peru</t>
  </si>
  <si>
    <t>2 pães careca Presunto</t>
  </si>
  <si>
    <t>2 pães de sal Presunto</t>
  </si>
  <si>
    <t>2 pães careca Queijo branco</t>
  </si>
  <si>
    <t>2 pães de sal Queijo branco</t>
  </si>
  <si>
    <t>2 pães careca Queijo mussarela</t>
  </si>
  <si>
    <t>2 pães de sal Queijo mussarela</t>
  </si>
  <si>
    <t>2 pães de sal Queijo prato</t>
  </si>
  <si>
    <t>2 pães careca Queijo prato</t>
  </si>
  <si>
    <t>Biscoito de sal</t>
  </si>
  <si>
    <t>Biscoito integral</t>
  </si>
  <si>
    <t>Biscoito maisena</t>
  </si>
  <si>
    <t>Tangerina</t>
  </si>
  <si>
    <t>2 pães de sal
Presunto</t>
  </si>
  <si>
    <t>Biscoito de maisena</t>
  </si>
  <si>
    <t>Fatia (mín. 15g)</t>
  </si>
  <si>
    <t>Feijão Preto</t>
  </si>
  <si>
    <t>Carne bovina</t>
  </si>
  <si>
    <t>Acem</t>
  </si>
  <si>
    <t>Paleta</t>
  </si>
  <si>
    <t>Músculo</t>
  </si>
  <si>
    <t>Patinho</t>
  </si>
  <si>
    <t>Coxão duro</t>
  </si>
  <si>
    <t>Coxão mole</t>
  </si>
  <si>
    <t>Fraldinha</t>
  </si>
  <si>
    <t>Cupim</t>
  </si>
  <si>
    <t>Carne de aves</t>
  </si>
  <si>
    <t>Coxa</t>
  </si>
  <si>
    <t>Sobrecoxa</t>
  </si>
  <si>
    <t>Asa</t>
  </si>
  <si>
    <t>Coxinha da asa</t>
  </si>
  <si>
    <t>Peito de frango</t>
  </si>
  <si>
    <t>Steak</t>
  </si>
  <si>
    <t>Preparo para feijoada</t>
  </si>
  <si>
    <t>Lingüiça toscana</t>
  </si>
  <si>
    <t>Carré</t>
  </si>
  <si>
    <t>Lombo</t>
  </si>
  <si>
    <t>Pernil</t>
  </si>
  <si>
    <t xml:space="preserve">Costela </t>
  </si>
  <si>
    <t>Ovo</t>
  </si>
  <si>
    <t>Acém</t>
  </si>
  <si>
    <t>Coxa de frango</t>
  </si>
  <si>
    <t>Lombo suíno</t>
  </si>
  <si>
    <t>Asa de frango</t>
  </si>
  <si>
    <t>Costela suína</t>
  </si>
  <si>
    <t>Costela bovina</t>
  </si>
  <si>
    <t xml:space="preserve">Pernil </t>
  </si>
  <si>
    <t>Steak de peixe</t>
  </si>
  <si>
    <t>Bisteca de porco</t>
  </si>
  <si>
    <t>Steak de frango</t>
  </si>
  <si>
    <t>Coxao mole</t>
  </si>
  <si>
    <t>Preparo de feijoada</t>
  </si>
  <si>
    <t>Inhame</t>
  </si>
  <si>
    <t>Abobora</t>
  </si>
  <si>
    <t>g</t>
  </si>
  <si>
    <t>Fatia (mín. 35g)</t>
  </si>
  <si>
    <t>Carré/bisteca</t>
  </si>
  <si>
    <t>Cará/Inhame</t>
  </si>
  <si>
    <t>Custo médio guarnição</t>
  </si>
  <si>
    <t>Unidade de medida</t>
  </si>
  <si>
    <t>Valor unitário (R$)</t>
  </si>
  <si>
    <t>Valor mês (R$)</t>
  </si>
  <si>
    <t>Consumo</t>
  </si>
  <si>
    <t>Freqüência</t>
  </si>
  <si>
    <t>Marmitex redondo, tampa aluminizada</t>
  </si>
  <si>
    <t>Unidade</t>
  </si>
  <si>
    <t>Diária</t>
  </si>
  <si>
    <t>Embalagem pão/bolo 10x15cm</t>
  </si>
  <si>
    <t>Embalagem fruta 10x15</t>
  </si>
  <si>
    <t>Colher de plástico (uma vez a cada 6 meses)</t>
  </si>
  <si>
    <t>Semestral</t>
  </si>
  <si>
    <t>TOTAL DIÁRIO POR INTERNO</t>
  </si>
  <si>
    <t>Recicláveis individuais</t>
  </si>
  <si>
    <t xml:space="preserve"> Recicláveis para preparo das refeições</t>
  </si>
  <si>
    <t>Filme de pvc, esticável, em rolo, espessura aproximada 0,09 mm (10 micras), medindo aproximadamente 38 cm x 1000 m</t>
  </si>
  <si>
    <t>Rolo</t>
  </si>
  <si>
    <t>Mensal</t>
  </si>
  <si>
    <t>Luvas látex descartáveis, caixa 100 unidades</t>
  </si>
  <si>
    <t>Papel alumínio com 7,5 m x 30 cm</t>
  </si>
  <si>
    <t>Pano multiuso rolo de crosshatch com 300 m x 30 cm</t>
  </si>
  <si>
    <t>Sacos plásticos, esterilizado, para coleta de amostras de alimentos, medindo aproximadamente 15x20cm (100 unidades)</t>
  </si>
  <si>
    <t>Foi considerado o consumo da tabela acima a quantidade de 1.000 (mil) refeições diárias.</t>
  </si>
  <si>
    <t>Total matéria-prima não alimentar</t>
  </si>
  <si>
    <t>Recicláveis para preparo das refeições</t>
  </si>
  <si>
    <t>Coeficiente utilizado de 6% do custo total de matéria-prima</t>
  </si>
  <si>
    <t>Custo diário com higienização e limpeza (R$/dia)</t>
  </si>
  <si>
    <t>Coeficiente de área por nº de refeições preparadas (acima 3.000 internos)</t>
  </si>
  <si>
    <t>Área total requerida (m²)</t>
  </si>
  <si>
    <t>720 m²</t>
  </si>
  <si>
    <t>Valor médio/m² de locação mensal</t>
  </si>
  <si>
    <t>Custo mensal</t>
  </si>
  <si>
    <t>Custo unitário diário</t>
  </si>
  <si>
    <t>Custo de aplicação trimestral/m²</t>
  </si>
  <si>
    <t>Subtotal por trimestre</t>
  </si>
  <si>
    <r>
      <t xml:space="preserve">Custo unitário mensal </t>
    </r>
    <r>
      <rPr>
        <b/>
        <sz val="11"/>
        <color indexed="10"/>
        <rFont val="Calibri"/>
        <family val="2"/>
      </rPr>
      <t>(dividir pela quantidade de internos por contrato e por dia)</t>
    </r>
  </si>
  <si>
    <t>Quantidade estimada mensal de análises</t>
  </si>
  <si>
    <t>Valor mensal</t>
  </si>
  <si>
    <r>
      <t xml:space="preserve">Custo unitário diário </t>
    </r>
    <r>
      <rPr>
        <b/>
        <sz val="11"/>
        <color indexed="10"/>
        <rFont val="Calibri"/>
        <family val="2"/>
      </rPr>
      <t>(dividir pela quantidade de internos por contrato)</t>
    </r>
  </si>
  <si>
    <t>Custo total de aquisição</t>
  </si>
  <si>
    <t>R$</t>
  </si>
  <si>
    <t>Subtotal unitário diário</t>
  </si>
  <si>
    <t>Consumo diário (Kw)</t>
  </si>
  <si>
    <t>Tarifa (R$/Kw)</t>
  </si>
  <si>
    <t>Custo diário com 18% de ICMS</t>
  </si>
  <si>
    <t>Consumo diário por comensal (kg)</t>
  </si>
  <si>
    <t>Custo unitário (kg)</t>
  </si>
  <si>
    <t>A lista abaixo foi estimada para uma fabricação visando atender 3.000 (três mil) internos.</t>
  </si>
  <si>
    <t>Recepção e controle</t>
  </si>
  <si>
    <t>Valor Unitário</t>
  </si>
  <si>
    <t>Valor Total</t>
  </si>
  <si>
    <t>Carro plataforma 1,0 x 0,6 x 0,7 m, cap. 300 kg com base de chapa de aço inox</t>
  </si>
  <si>
    <t>Carro plataforma 1,2 x 0,65 x 0,7 m, cap. 500 kg com base de chapa de aço inox</t>
  </si>
  <si>
    <t>Balança de carga 300 kg</t>
  </si>
  <si>
    <t>Mesa em aço inox 1,40 x 0,70 m com gavetas</t>
  </si>
  <si>
    <t>TOTAL</t>
  </si>
  <si>
    <t>Despensa</t>
  </si>
  <si>
    <t>Estante de chapa pintada, reguláveis, simples, com 5 prateleiras. Dimensões: 0,92 x 0,50 x 1,80 m com vão entre pratel. 0,46 m</t>
  </si>
  <si>
    <t>Mesa de escritório 1,50 m</t>
  </si>
  <si>
    <t>Cadeira giratória</t>
  </si>
  <si>
    <t>Balança de mesa 0,55 x 0,40 m capac. 30 kg e graduação 10 g</t>
  </si>
  <si>
    <t>Mesa aço 0,50 x 0,50 x 0,60 m para apoio da balança</t>
  </si>
  <si>
    <t>Escada de metal com 5 degraus</t>
  </si>
  <si>
    <t>Estrado de polipropileno 1,00 x 0,90 x 0,25 m</t>
  </si>
  <si>
    <t>Carro auxiliar de aço inox 2 planos 1,20 x 0,50 x 0,85 m, chassis em chapa dobrada de aço inox, planos de tampo rebaixados em aço, montantes em tubos de aço de 1" e providos de rodas de 5" revestidos de borracha (2 fixas e 2 giratórias), acabamento em aço inox polido fosco</t>
  </si>
  <si>
    <t>Câmaras frigoríficas</t>
  </si>
  <si>
    <t>Prateleiras gradeadas de 1,50 X 0,50 X 1,70m desmontável</t>
  </si>
  <si>
    <t>Câmara 3,00 x 2,60 x 3,00 m, para carnes</t>
  </si>
  <si>
    <t>Câmara 4,30 x 3,0 x 3,0 m, para vegetais</t>
  </si>
  <si>
    <t>Câmara 3,0 x 1,85 x 3,00 m, para laticínios</t>
  </si>
  <si>
    <t>Antecâmara</t>
  </si>
  <si>
    <t>Área de carnes</t>
  </si>
  <si>
    <t>Tampo em aço inox 2,10 x 0,70 x 0,85 com 2 cubas de 0,50 x 0,40 x 0,30 m de fundo</t>
  </si>
  <si>
    <t>Mesa com 50 x 0,70 x 0,85 m, em altileno espessura mínima 2 cm</t>
  </si>
  <si>
    <t>Tampo em aço inox com 2,10x0,70x0,85 m com 2 cubas de aço inox 0,60 x 0,50 x 0,40 m para descongelamento</t>
  </si>
  <si>
    <t>Moedor/picador de carnes 240 kg/h</t>
  </si>
  <si>
    <t>Amaciador de bifes, 0,45 x 0,30 x 0,35 m, motor elétrico 1/2 HP, monofásico, 60 ciclos, composto de 2 rolos com 72 lâminas e 2 pentes em aço inox acabamento externo em aço inox</t>
  </si>
  <si>
    <t>Área de vegetais</t>
  </si>
  <si>
    <t>Máquina descascadora de tubérculos, capacidade 240 kg/h, motor 1/2 HP, 220 volts, 60 ciclos. Recipiente construído de ferro fundido, com ondulações internas, disco abrasivo de 0,40". acompanha caixa de decantação</t>
  </si>
  <si>
    <t>Tampo de aço inox 2,10 x 0,70 x 0,85 m, com 1 cuba de 0,50 x 0,40 x 0,25 de fundos</t>
  </si>
  <si>
    <t>Tanque duplo, em aço inox de 2,0 x 1,0 x 0,20 m, com fundo falso perfurado e chuveiros laterais, acabamento polido fosco, medidas: 2,50 x 1,00 x 0,85 m</t>
  </si>
  <si>
    <t>Lavadora e centrífuga de vegetais capac. 20 a 30 kg/h em aço inox</t>
  </si>
  <si>
    <t>Multiprocessador 150 kg/h</t>
  </si>
  <si>
    <t>Multiprocessador 300 kg/h</t>
  </si>
  <si>
    <t>Área de cereais</t>
  </si>
  <si>
    <t>Tampo em aço inox linear para apoio, 1,40 x 0,70 x 0,85 m, com 1 orifício na extremidade</t>
  </si>
  <si>
    <t>Carro para lavagem e transporte de cereais, tipo caçamba basculante sobre rodas, constituído de 1 recipiente em aço inox, provido de anteparo perfurado, guidão e alças em tubo de aço inox com montantes tubulares de 1", com 4 rodas de 5"e revestido de poliuretano, 2 fixas e 2 giratórias.; dimensões de 0,71 x 0,43 x 0,85 m</t>
  </si>
  <si>
    <t>Área de massas e lanches</t>
  </si>
  <si>
    <t>Tampo linear (PIA) em aço inox 2,10 x 0,70 x 0,85 m, com 1 cuba de 0,50 x 0,40 x 0,25 de fundos</t>
  </si>
  <si>
    <t>Cortador de frios automático, 1/2 Hp, 110/220 volts, monofásico 0,65 x 0,58 x 0,52 m</t>
  </si>
  <si>
    <t>Batedeira elétrica 38 litros, com tacho em aço inox com 3 velocidades, motor 11/2 HP, trifásico, 220 volts, acompanhados de 3 batedores – globo, raquete e gancho</t>
  </si>
  <si>
    <t>Área de cocção</t>
  </si>
  <si>
    <t>Fogão a gás com 4 queimadores duplos de 0,40 x 0,40 m com forno</t>
  </si>
  <si>
    <t>Bifeteira de sobrepor de 0,40 X 0,40 m para fogão a gás com queimadores de 0,40 X 0,40 m</t>
  </si>
  <si>
    <t>Frigideira basculante 60 litros, 220 volts, 1,00x1,00m</t>
  </si>
  <si>
    <t>Caldeirão a gás autogerador de vapor 200 litros, tampo americano, diâmetro de 1,05 cm x 0,85 m</t>
  </si>
  <si>
    <t>Caldeirão a gás autogerador de vapor 300 litros, tampo americano, diâmetro de 1,20 cm x 0,85 m</t>
  </si>
  <si>
    <t>Caldeirão a gás autogerador de vapor 500 litros, tampo americano, diâmetro de 1,20 cm x 0,85 m</t>
  </si>
  <si>
    <t>Forno elétrico de 3 câmaras, 220 volts, de 80 x 80 x 1,60 m</t>
  </si>
  <si>
    <t>Mesa para apoio em aço inox de 2,10 x 0,70 x 0,85, com 1 cuba de 0,50 x 0,40 x 0,25 m e gancheira</t>
  </si>
  <si>
    <t>Liquidificador industrial cap. 6 litros, 220 volts, monofásico</t>
  </si>
  <si>
    <t>Refrigerador industrial, galvanizada internamente e externamente em aço inox, de 1,20 x 0,60 x 1,90 m, cap. 1200 litros</t>
  </si>
  <si>
    <t>Forno combinado com 20 GN 1/1</t>
  </si>
  <si>
    <t>Área para higienização de panelas e utensílios</t>
  </si>
  <si>
    <t>Tampo em aço inox de 1,40 x 0,70 m, com 2 cubas de 0,60 x 0,50 x 0,40 m</t>
  </si>
  <si>
    <t>Estante gradeada em aço inox de 1, 4 x 0,50 x 1,80 m, fixa com 4 planos</t>
  </si>
  <si>
    <t>Área de montagem</t>
  </si>
  <si>
    <t>Carro isotérmico/banho maria basculante sob rodízios, cap. 60 litros, de 0,60 x 0,60 m</t>
  </si>
  <si>
    <t>Carro plataforma 300 kg para transporte (distribuição e expedição)</t>
  </si>
  <si>
    <t>Equipamento de fechamento de marmitex manual</t>
  </si>
  <si>
    <t>Sistema de exaustão</t>
  </si>
  <si>
    <t>Sistema de exaustão composto de coifa de 3,70 x 1,20 m com filtro, 3,0 m dutos de 0,40 cm 2 exautores axial 220 volts e 2 chapéus chinês</t>
  </si>
  <si>
    <t>Sistema de exaustão composto de coifa de 5,20 x 1,20 m sem filtro, 3,0 m dutos de 0,40 cm 2 exautores axial 220 volts e 2 chapéus chinês</t>
  </si>
  <si>
    <t>Área de guarda de caixotes</t>
  </si>
  <si>
    <t>Estante de aço pintada com 4 planos, de 0,92 x 0,50 x 1,60 m</t>
  </si>
  <si>
    <t>Área de lavagem e guarda de material limpeza</t>
  </si>
  <si>
    <t>Abridor de latas e garrafas profissional em aço inox (G)</t>
  </si>
  <si>
    <t>Assadeiras de alumínio 60 x 40 cm</t>
  </si>
  <si>
    <t>Caçarola de alumínio cap. 14,5 litros tipo hotel com tampa</t>
  </si>
  <si>
    <t>Caçarola de alumínio cap. 41 litros tipo hotel com tampa</t>
  </si>
  <si>
    <t>Caixa de isopor capacidade 120 litros</t>
  </si>
  <si>
    <t>Caixa fechada em polietileno para hortifrutigranjeiros, sem tampa 36 litros aproximadamente</t>
  </si>
  <si>
    <t>Caixa para pão em plástico 80 x 60 x 50 cm sem tampa</t>
  </si>
  <si>
    <t>Caixa térmica hot-box 80 litros 86 x 64 x 46 cm</t>
  </si>
  <si>
    <t>Caixa vazada em polietileno para hortifrutigranjeiros</t>
  </si>
  <si>
    <t>Caldeirão de alumínio cap. 125 litros tipo hotel com tampa</t>
  </si>
  <si>
    <t>Caldeirão de alumínio cap. 94 litros tipo hotel com tampa</t>
  </si>
  <si>
    <t>Caneca de alumínio 2 litros</t>
  </si>
  <si>
    <t>Chiara 12" em inox – afiador de faca tipo fuzil de aproximadamente. 30 cm</t>
  </si>
  <si>
    <t>Colher de altileno 36 cm</t>
  </si>
  <si>
    <t>Colher de altileno 45 cm</t>
  </si>
  <si>
    <t>Colher de altileno 60 cm</t>
  </si>
  <si>
    <t>Concha de alumínio diâm. 10 cm com cabo 33 cm</t>
  </si>
  <si>
    <t>Concha de alumínio diâm. 16 cm com cabo 50 cm</t>
  </si>
  <si>
    <t>Concha para açúcar, cereais e farinha em metal</t>
  </si>
  <si>
    <t>Descaroçador de azeitona em alumínio</t>
  </si>
  <si>
    <t>Escumadeira alumínio diam.14 cm e cabo 36 cm</t>
  </si>
  <si>
    <t>Escumadeira alumínio diam.16 cm e cabo 36 cm</t>
  </si>
  <si>
    <t>Escumadeira alumínio diam.8,5 cm e cabo 33 cm</t>
  </si>
  <si>
    <t>Faca para açougue inox lâmina 9</t>
  </si>
  <si>
    <t>Faca para cozinha inox lâmina 8</t>
  </si>
  <si>
    <t>Faca para vegetais inox lâmina 3. 1/4"</t>
  </si>
  <si>
    <t>Frigideira diâm. 34 cm</t>
  </si>
  <si>
    <t>Funil em plástico diâm 10 cm</t>
  </si>
  <si>
    <t>Garfo de alumínio para assador 2 dentes 56 cm</t>
  </si>
  <si>
    <t>Jarra plástica 2 litros</t>
  </si>
  <si>
    <t>Monobloco 16 litros em polietileno</t>
  </si>
  <si>
    <t>Monobloco 34 litros em polietileno</t>
  </si>
  <si>
    <t>Monobloco 40 litros em polietileno</t>
  </si>
  <si>
    <t>Monobloco 44 litros em polietileno</t>
  </si>
  <si>
    <t>Pá para arroz em altileno 35 cm</t>
  </si>
  <si>
    <t>Pegador de pão de inox</t>
  </si>
  <si>
    <t>Pegador de salada de inox</t>
  </si>
  <si>
    <t>Placa de altileno 50 x 30 cm</t>
  </si>
  <si>
    <t>Recipiente plástico com tampa para alimentos 10 litros</t>
  </si>
  <si>
    <t>Recipiente plástico com tampa para alimentos 12 litros</t>
  </si>
  <si>
    <t>Socador de feijão altileno 20 cm cabo 1 m</t>
  </si>
  <si>
    <t>Termômetro tipo espeto de 50 °C a 300 °C</t>
  </si>
  <si>
    <t>Parâmetros adotados</t>
  </si>
  <si>
    <t>Quantidade de viagens</t>
  </si>
  <si>
    <t>-</t>
  </si>
  <si>
    <t>Refeições transportadas a cada viagem</t>
  </si>
  <si>
    <t>Veículo zero km</t>
  </si>
  <si>
    <t>Custo de adaptação do veículo</t>
  </si>
  <si>
    <t>Km de cada viagem</t>
  </si>
  <si>
    <t>km</t>
  </si>
  <si>
    <t>Diesel (km/l)</t>
  </si>
  <si>
    <t>Km/litro</t>
  </si>
  <si>
    <t>Total Diesel por mês</t>
  </si>
  <si>
    <t>Par</t>
  </si>
  <si>
    <t>Valor</t>
  </si>
  <si>
    <t>Cargo</t>
  </si>
  <si>
    <t>Custo/Trab.</t>
  </si>
  <si>
    <t>Custo Total/Trab.</t>
  </si>
  <si>
    <t>Nutricionista </t>
  </si>
  <si>
    <t>Téc. em Nutrição</t>
  </si>
  <si>
    <t>Op. de Caldeira</t>
  </si>
  <si>
    <t>Auxiliar de Cozinha</t>
  </si>
  <si>
    <t>Cozinheiro</t>
  </si>
  <si>
    <t>Açougueiro </t>
  </si>
  <si>
    <t>Padeiro</t>
  </si>
  <si>
    <t>Fechador</t>
  </si>
  <si>
    <t>Gerente de Un/Operacional</t>
  </si>
  <si>
    <t>Gerente de Produção</t>
  </si>
  <si>
    <t>Assistente Dep. Pessoal</t>
  </si>
  <si>
    <t>Auxiliar Administrativo</t>
  </si>
  <si>
    <t>Estoquista</t>
  </si>
  <si>
    <t>* Dados do Cadastro Geral de Empregados e Desempregados - CAGED obtidos junto ao Sítio eletrônico www.salario.com.br</t>
  </si>
  <si>
    <t>Piso Salarial: Média do salário base de acordos, convenções coletivas e dissídios coletivos com menções ao cargo negociados por sindicatos e registrados no MTE;</t>
  </si>
  <si>
    <t>Média Salarial: A soma de todos os salários dividido pelo total de salários de profissionais no cargo da amostragem. Cálculo de média aritmética simples;</t>
  </si>
  <si>
    <t>Teto Salarial: Corresponde aos maiores salários no cargo, observando-se ponderações e filtros exclusivos do nosso algoritmo de pesquisa salarial.</t>
  </si>
  <si>
    <t>Custo / Trabalhador: Planilha  de Custos e Formação de Preços elaborada considerando a Média CAGED.</t>
  </si>
  <si>
    <t>Quant. Postos</t>
  </si>
  <si>
    <t>Resumo do Custo Mão de Obra</t>
  </si>
  <si>
    <t>Valor diário mensal</t>
  </si>
  <si>
    <t>A quantidade de postos foi retirada do contrato atual que atende hoje um total de 6.400 internos</t>
  </si>
  <si>
    <t>Por refeição</t>
  </si>
  <si>
    <t>EQUIPAMENTOS</t>
  </si>
  <si>
    <t>Valor Estimado Diário</t>
  </si>
  <si>
    <t>Valor Estimado Diário Total</t>
  </si>
  <si>
    <t>Valor Estimado Diário por refeição</t>
  </si>
  <si>
    <t>Equipamentos iniciais (3.000 internos)</t>
  </si>
  <si>
    <t>Auxiliar de Cozinha - Mão de obra carcerária</t>
  </si>
  <si>
    <t>Fatia</t>
  </si>
  <si>
    <t>Custo Médio Grupos</t>
  </si>
  <si>
    <t>Custo médio feijão</t>
  </si>
  <si>
    <t>Temperos</t>
  </si>
  <si>
    <t xml:space="preserve">Produtos para higienização e limpeza
</t>
  </si>
  <si>
    <t>Opção D: achocolatado, um pão de sal e um pão careca com manteiga</t>
  </si>
  <si>
    <t>Opção G: suco e dois pães carecas e manteiga</t>
  </si>
  <si>
    <t>Opção F: suco e dois pães de sal e mateiga</t>
  </si>
  <si>
    <t>Opção B: achocolatado, dois pães carecas com manteiga</t>
  </si>
  <si>
    <t>Opção C: achocolatado, um bolo e um pão careca com manteiga</t>
  </si>
  <si>
    <t>Opção E: achocolatado, um bolo e um pão de sal com manteiga</t>
  </si>
  <si>
    <t>Opção H: suco, um bolo e um pão careca e manteiga</t>
  </si>
  <si>
    <t>Opção I: suco, um pão de sal e um pão careca com manteiga</t>
  </si>
  <si>
    <t>Opção J: suco, um bolo e um pão de sal com manteiga</t>
  </si>
  <si>
    <t>Custo Médio Proteína</t>
  </si>
  <si>
    <t>Tempeiros diversos</t>
  </si>
  <si>
    <t>Custo Médio Jantar</t>
  </si>
  <si>
    <t>Custo Médio Almoço</t>
  </si>
  <si>
    <t>Média Fruta/Doce almoço</t>
  </si>
  <si>
    <t>Opção A: achocolatado, dois pães de sal com manteiga</t>
  </si>
  <si>
    <t>Média Custo Frios Lanche (mês)</t>
  </si>
  <si>
    <t>Média Custo Pães (mês)</t>
  </si>
  <si>
    <t>Média Custo Biscoito (mês)</t>
  </si>
  <si>
    <t>Média Custo Frutas Lanche (mês)</t>
  </si>
  <si>
    <t>Média Custo Pão e Frio (mês)</t>
  </si>
  <si>
    <t>Média Custo Lanche Noturno (dia)</t>
  </si>
  <si>
    <t>Mão-de-Obra</t>
  </si>
  <si>
    <t>Valor mão-de-obra mensal</t>
  </si>
  <si>
    <t>Valor mão-de-obra diário</t>
  </si>
  <si>
    <t>Valor mão-de-obra por refeição</t>
  </si>
  <si>
    <t>Equipamentos e utensílios</t>
  </si>
  <si>
    <t>Custo diário de depreciação (10%a.a.)</t>
  </si>
  <si>
    <t>Custo unitário diário por refeição</t>
  </si>
  <si>
    <t>25 litros por preso (média)</t>
  </si>
  <si>
    <t>Consumo mensal por interno</t>
  </si>
  <si>
    <t>Consumo diário por interno (litros)</t>
  </si>
  <si>
    <t>Tarifa (R$/m3 - 1000 litros)</t>
  </si>
  <si>
    <t>Custo unitário mensal por interno</t>
  </si>
  <si>
    <t>Custo diário por interno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</si>
</sst>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R$&quot;\ #,##0.000"/>
    <numFmt numFmtId="176" formatCode="&quot;R$&quot;\ #,##0.0000"/>
    <numFmt numFmtId="177" formatCode="[$-416]dddd\,\ d&quot; de &quot;mmmm&quot; de &quot;yyyy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&quot;R$&quot;\ #,##0.0"/>
    <numFmt numFmtId="184" formatCode="&quot;R$&quot;#,##0.0;[Red]\-&quot;R$&quot;#,##0.0"/>
    <numFmt numFmtId="185" formatCode="&quot;R$&quot;#,##0.000;[Red]\-&quot;R$&quot;#,##0.000"/>
    <numFmt numFmtId="186" formatCode="_-&quot;R$&quot;\ * #,##0.000_-;\-&quot;R$&quot;\ * #,##0.000_-;_-&quot;R$&quot;\ * &quot;-&quot;??_-;_-@_-"/>
    <numFmt numFmtId="187" formatCode="_-&quot;R$&quot;\ * #,##0.0000_-;\-&quot;R$&quot;\ * #,##0.0000_-;_-&quot;R$&quot;\ * &quot;-&quot;??_-;_-@_-"/>
    <numFmt numFmtId="188" formatCode="&quot;R$&quot;#,##0.0000;[Red]\-&quot;R$&quot;#,##0.0000"/>
    <numFmt numFmtId="189" formatCode="&quot;R$&quot;#,##0.00000;[Red]\-&quot;R$&quot;#,##0.00000"/>
    <numFmt numFmtId="190" formatCode="_-&quot;R$&quot;\ * #,##0.0_-;\-&quot;R$&quot;\ * #,##0.0_-;_-&quot;R$&quot;\ * &quot;-&quot;??_-;_-@_-"/>
    <numFmt numFmtId="191" formatCode="_-&quot;R$&quot;\ * #,##0.00000_-;\-&quot;R$&quot;\ * #,##0.00000_-;_-&quot;R$&quot;\ * &quot;-&quot;??_-;_-@_-"/>
    <numFmt numFmtId="192" formatCode="_-&quot;R$&quot;* #,##0.0_-;\-&quot;R$&quot;* #,##0.0_-;_-&quot;R$&quot;* &quot;-&quot;??_-;_-@_-"/>
    <numFmt numFmtId="193" formatCode="_-&quot;R$&quot;* #,##0.000_-;\-&quot;R$&quot;* #,##0.000_-;_-&quot;R$&quot;* &quot;-&quot;??_-;_-@_-"/>
    <numFmt numFmtId="194" formatCode="_-&quot;R$&quot;* #,##0.0000_-;\-&quot;R$&quot;* #,##0.0000_-;_-&quot;R$&quot;* &quot;-&quot;??_-;_-@_-"/>
    <numFmt numFmtId="195" formatCode="_-&quot;R$&quot;* #,##0.00000_-;\-&quot;R$&quot;* #,##0.00000_-;_-&quot;R$&quot;* &quot;-&quot;??_-;_-@_-"/>
    <numFmt numFmtId="196" formatCode="_-&quot;R$&quot;* #,##0.000000_-;\-&quot;R$&quot;* #,##0.000000_-;_-&quot;R$&quot;* &quot;-&quot;??_-;_-@_-"/>
    <numFmt numFmtId="197" formatCode="&quot;R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365F91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70" fontId="0" fillId="0" borderId="17" xfId="0" applyNumberFormat="1" applyBorder="1" applyAlignment="1">
      <alignment horizontal="center" vertical="center" wrapText="1"/>
    </xf>
    <xf numFmtId="0" fontId="41" fillId="36" borderId="13" xfId="0" applyFont="1" applyFill="1" applyBorder="1" applyAlignment="1">
      <alignment vertical="center" wrapText="1"/>
    </xf>
    <xf numFmtId="0" fontId="41" fillId="36" borderId="16" xfId="0" applyFont="1" applyFill="1" applyBorder="1" applyAlignment="1">
      <alignment horizontal="center" vertical="center" wrapText="1"/>
    </xf>
    <xf numFmtId="170" fontId="41" fillId="36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wrapText="1"/>
    </xf>
    <xf numFmtId="167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167" fontId="0" fillId="0" borderId="10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7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4" fontId="46" fillId="0" borderId="10" xfId="47" applyFont="1" applyBorder="1" applyAlignment="1">
      <alignment horizontal="center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44" fontId="45" fillId="0" borderId="10" xfId="47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0" fillId="0" borderId="10" xfId="47" applyFont="1" applyBorder="1" applyAlignment="1">
      <alignment/>
    </xf>
    <xf numFmtId="0" fontId="0" fillId="0" borderId="10" xfId="47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47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44" fontId="0" fillId="0" borderId="10" xfId="47" applyFont="1" applyBorder="1" applyAlignment="1">
      <alignment horizontal="center" wrapText="1"/>
    </xf>
    <xf numFmtId="44" fontId="0" fillId="0" borderId="10" xfId="47" applyFont="1" applyBorder="1" applyAlignment="1">
      <alignment/>
    </xf>
    <xf numFmtId="44" fontId="0" fillId="0" borderId="10" xfId="47" applyFont="1" applyFill="1" applyBorder="1" applyAlignment="1">
      <alignment/>
    </xf>
    <xf numFmtId="44" fontId="41" fillId="0" borderId="10" xfId="0" applyNumberFormat="1" applyFont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44" fontId="0" fillId="0" borderId="10" xfId="47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44" fontId="41" fillId="0" borderId="10" xfId="47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41" fillId="0" borderId="10" xfId="47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44" fontId="0" fillId="0" borderId="10" xfId="47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44" fontId="0" fillId="0" borderId="22" xfId="47" applyFont="1" applyFill="1" applyBorder="1" applyAlignment="1">
      <alignment/>
    </xf>
    <xf numFmtId="0" fontId="0" fillId="0" borderId="22" xfId="47" applyNumberFormat="1" applyFont="1" applyFill="1" applyBorder="1" applyAlignment="1">
      <alignment/>
    </xf>
    <xf numFmtId="170" fontId="0" fillId="0" borderId="13" xfId="0" applyNumberFormat="1" applyBorder="1" applyAlignment="1">
      <alignment horizontal="center" vertical="center" wrapText="1"/>
    </xf>
    <xf numFmtId="170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170" fontId="41" fillId="0" borderId="26" xfId="0" applyNumberFormat="1" applyFont="1" applyBorder="1" applyAlignment="1">
      <alignment horizontal="center" vertical="center" wrapText="1"/>
    </xf>
    <xf numFmtId="170" fontId="41" fillId="0" borderId="27" xfId="0" applyNumberFormat="1" applyFont="1" applyBorder="1" applyAlignment="1">
      <alignment horizontal="center" vertical="center" wrapText="1"/>
    </xf>
    <xf numFmtId="170" fontId="41" fillId="0" borderId="28" xfId="0" applyNumberFormat="1" applyFon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4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0" fontId="0" fillId="0" borderId="0" xfId="0" applyNumberFormat="1" applyFill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 wrapText="1"/>
    </xf>
    <xf numFmtId="170" fontId="41" fillId="0" borderId="2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4" fontId="0" fillId="0" borderId="10" xfId="0" applyNumberFormat="1" applyBorder="1" applyAlignment="1">
      <alignment horizontal="center" vertical="center"/>
    </xf>
    <xf numFmtId="44" fontId="41" fillId="0" borderId="10" xfId="0" applyNumberFormat="1" applyFont="1" applyBorder="1" applyAlignment="1">
      <alignment horizontal="center" vertical="center"/>
    </xf>
    <xf numFmtId="170" fontId="46" fillId="0" borderId="10" xfId="47" applyNumberFormat="1" applyFont="1" applyBorder="1" applyAlignment="1">
      <alignment horizontal="center" vertical="center" wrapText="1"/>
    </xf>
    <xf numFmtId="170" fontId="45" fillId="0" borderId="10" xfId="47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41" fillId="0" borderId="10" xfId="0" applyNumberFormat="1" applyFont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8" fontId="41" fillId="0" borderId="10" xfId="0" applyNumberFormat="1" applyFont="1" applyBorder="1" applyAlignment="1">
      <alignment horizontal="center" vertical="center"/>
    </xf>
    <xf numFmtId="8" fontId="41" fillId="0" borderId="10" xfId="0" applyNumberFormat="1" applyFont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/>
    </xf>
    <xf numFmtId="0" fontId="41" fillId="14" borderId="30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14" borderId="11" xfId="0" applyFont="1" applyFill="1" applyBorder="1" applyAlignment="1">
      <alignment horizontal="center" vertical="center"/>
    </xf>
    <xf numFmtId="0" fontId="41" fillId="14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170" fontId="41" fillId="36" borderId="14" xfId="0" applyNumberFormat="1" applyFont="1" applyFill="1" applyBorder="1" applyAlignment="1">
      <alignment horizontal="center" vertical="center" wrapText="1"/>
    </xf>
    <xf numFmtId="170" fontId="41" fillId="36" borderId="35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36" borderId="32" xfId="0" applyFont="1" applyFill="1" applyBorder="1" applyAlignment="1">
      <alignment horizontal="center" vertical="center" wrapText="1"/>
    </xf>
    <xf numFmtId="0" fontId="41" fillId="36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6" borderId="17" xfId="0" applyNumberFormat="1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left" vertical="center" wrapText="1"/>
    </xf>
    <xf numFmtId="0" fontId="41" fillId="36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4.7109375" style="5" bestFit="1" customWidth="1"/>
    <col min="2" max="2" width="13.28125" style="5" bestFit="1" customWidth="1"/>
    <col min="3" max="3" width="7.00390625" style="5" bestFit="1" customWidth="1"/>
    <col min="4" max="4" width="8.421875" style="5" bestFit="1" customWidth="1"/>
    <col min="5" max="5" width="8.7109375" style="5" bestFit="1" customWidth="1"/>
    <col min="6" max="6" width="7.00390625" style="5" bestFit="1" customWidth="1"/>
    <col min="7" max="7" width="8.421875" style="5" bestFit="1" customWidth="1"/>
    <col min="8" max="8" width="8.7109375" style="5" bestFit="1" customWidth="1"/>
    <col min="9" max="9" width="9.140625" style="5" customWidth="1"/>
    <col min="10" max="10" width="45.421875" style="5" bestFit="1" customWidth="1"/>
    <col min="11" max="11" width="25.28125" style="5" bestFit="1" customWidth="1"/>
    <col min="12" max="12" width="31.8515625" style="5" bestFit="1" customWidth="1"/>
    <col min="13" max="16384" width="9.140625" style="5" customWidth="1"/>
  </cols>
  <sheetData>
    <row r="1" spans="1:12" ht="15">
      <c r="A1" s="138" t="s">
        <v>30</v>
      </c>
      <c r="B1" s="138"/>
      <c r="C1" s="138"/>
      <c r="D1" s="138"/>
      <c r="E1" s="138"/>
      <c r="F1" s="138"/>
      <c r="G1" s="138"/>
      <c r="H1" s="138"/>
      <c r="J1" s="78" t="s">
        <v>35</v>
      </c>
      <c r="K1" s="33" t="s">
        <v>405</v>
      </c>
      <c r="L1" s="33" t="s">
        <v>406</v>
      </c>
    </row>
    <row r="2" spans="1:12" ht="15">
      <c r="A2" s="139" t="s">
        <v>35</v>
      </c>
      <c r="B2" s="139" t="s">
        <v>36</v>
      </c>
      <c r="C2" s="137" t="s">
        <v>37</v>
      </c>
      <c r="D2" s="137"/>
      <c r="E2" s="137"/>
      <c r="F2" s="137" t="s">
        <v>41</v>
      </c>
      <c r="G2" s="137"/>
      <c r="H2" s="137"/>
      <c r="J2" s="80" t="s">
        <v>46</v>
      </c>
      <c r="K2" s="77">
        <v>1.0774801680983164</v>
      </c>
      <c r="L2" s="83">
        <v>0.2693700420245791</v>
      </c>
    </row>
    <row r="3" spans="1:11" ht="15">
      <c r="A3" s="140"/>
      <c r="B3" s="140"/>
      <c r="C3" s="72" t="s">
        <v>38</v>
      </c>
      <c r="D3" s="72" t="s">
        <v>39</v>
      </c>
      <c r="E3" s="72" t="s">
        <v>40</v>
      </c>
      <c r="F3" s="72" t="s">
        <v>38</v>
      </c>
      <c r="G3" s="72" t="s">
        <v>39</v>
      </c>
      <c r="H3" s="72" t="s">
        <v>40</v>
      </c>
      <c r="J3" s="81"/>
      <c r="K3" s="82"/>
    </row>
    <row r="4" spans="1:11" ht="15">
      <c r="A4" s="71" t="s">
        <v>31</v>
      </c>
      <c r="B4" s="71"/>
      <c r="C4" s="71"/>
      <c r="D4" s="71"/>
      <c r="E4" s="71"/>
      <c r="F4" s="71"/>
      <c r="G4" s="71"/>
      <c r="H4" s="71"/>
      <c r="J4" s="132" t="s">
        <v>47</v>
      </c>
      <c r="K4" s="132"/>
    </row>
    <row r="5" spans="1:11" ht="15">
      <c r="A5" s="71" t="s">
        <v>32</v>
      </c>
      <c r="B5" s="71"/>
      <c r="C5" s="71"/>
      <c r="D5" s="71"/>
      <c r="E5" s="71"/>
      <c r="F5" s="71"/>
      <c r="G5" s="71"/>
      <c r="H5" s="71"/>
      <c r="J5" s="78" t="s">
        <v>35</v>
      </c>
      <c r="K5" s="59" t="s">
        <v>41</v>
      </c>
    </row>
    <row r="6" spans="1:11" ht="15">
      <c r="A6" s="71" t="s">
        <v>33</v>
      </c>
      <c r="B6" s="71"/>
      <c r="C6" s="71"/>
      <c r="D6" s="71"/>
      <c r="E6" s="71"/>
      <c r="F6" s="71"/>
      <c r="G6" s="71"/>
      <c r="H6" s="71"/>
      <c r="J6" s="75" t="s">
        <v>48</v>
      </c>
      <c r="K6" s="88"/>
    </row>
    <row r="7" spans="1:11" ht="15">
      <c r="A7" s="71" t="s">
        <v>34</v>
      </c>
      <c r="B7" s="71"/>
      <c r="C7" s="71"/>
      <c r="D7" s="71"/>
      <c r="E7" s="71"/>
      <c r="F7" s="71"/>
      <c r="G7" s="71"/>
      <c r="H7" s="71"/>
      <c r="J7" s="75" t="s">
        <v>49</v>
      </c>
      <c r="K7" s="88"/>
    </row>
    <row r="8" spans="1:11" ht="15">
      <c r="A8" s="72" t="s">
        <v>44</v>
      </c>
      <c r="B8" s="74"/>
      <c r="C8" s="73"/>
      <c r="D8" s="73"/>
      <c r="E8" s="73"/>
      <c r="F8" s="73"/>
      <c r="G8" s="73"/>
      <c r="H8" s="73"/>
      <c r="J8" s="75" t="s">
        <v>50</v>
      </c>
      <c r="K8" s="88"/>
    </row>
    <row r="9" spans="10:11" ht="15">
      <c r="J9" s="75" t="s">
        <v>51</v>
      </c>
      <c r="K9" s="88"/>
    </row>
    <row r="10" spans="10:11" ht="15">
      <c r="J10" s="75" t="s">
        <v>407</v>
      </c>
      <c r="K10" s="88">
        <f>Equipamentos!G20</f>
        <v>900436.98</v>
      </c>
    </row>
    <row r="11" spans="1:11" ht="15">
      <c r="A11" s="135" t="s">
        <v>42</v>
      </c>
      <c r="B11" s="136"/>
      <c r="J11" s="75" t="s">
        <v>53</v>
      </c>
      <c r="K11" s="88"/>
    </row>
    <row r="12" spans="1:11" ht="15">
      <c r="A12" s="133" t="s">
        <v>35</v>
      </c>
      <c r="B12" s="133" t="s">
        <v>36</v>
      </c>
      <c r="J12" s="75" t="s">
        <v>54</v>
      </c>
      <c r="K12" s="88"/>
    </row>
    <row r="13" spans="1:11" ht="15">
      <c r="A13" s="134"/>
      <c r="B13" s="134"/>
      <c r="J13" s="75" t="s">
        <v>56</v>
      </c>
      <c r="K13" s="88"/>
    </row>
    <row r="14" spans="1:11" ht="15">
      <c r="A14" s="7" t="s">
        <v>31</v>
      </c>
      <c r="B14" s="121">
        <f>'Matéria-prima Alimentar'!E98</f>
        <v>3.5583679999999993</v>
      </c>
      <c r="J14" s="75" t="s">
        <v>55</v>
      </c>
      <c r="K14" s="88"/>
    </row>
    <row r="15" spans="1:11" ht="15">
      <c r="A15" s="7" t="s">
        <v>32</v>
      </c>
      <c r="B15" s="121">
        <f>'Matéria-prima Alimentar'!E99</f>
        <v>5.8573558809523805</v>
      </c>
      <c r="J15" s="76" t="s">
        <v>57</v>
      </c>
      <c r="K15" s="88"/>
    </row>
    <row r="16" spans="1:11" ht="15">
      <c r="A16" s="7" t="s">
        <v>33</v>
      </c>
      <c r="B16" s="121">
        <f>'Matéria-prima Alimentar'!E100</f>
        <v>5.55128138095238</v>
      </c>
      <c r="J16" s="76" t="s">
        <v>404</v>
      </c>
      <c r="K16" s="88"/>
    </row>
    <row r="17" spans="1:2" ht="15">
      <c r="A17" s="7" t="s">
        <v>34</v>
      </c>
      <c r="B17" s="121">
        <f>'Matéria-prima Alimentar'!E101</f>
        <v>2.7028892786723655</v>
      </c>
    </row>
    <row r="18" spans="1:11" ht="15">
      <c r="A18" s="6" t="s">
        <v>43</v>
      </c>
      <c r="B18" s="122">
        <f>SUM(B14:B17)</f>
        <v>17.669894540577125</v>
      </c>
      <c r="J18" s="131" t="s">
        <v>58</v>
      </c>
      <c r="K18" s="131"/>
    </row>
    <row r="19" spans="10:11" ht="15">
      <c r="J19" s="78" t="s">
        <v>35</v>
      </c>
      <c r="K19" s="33" t="s">
        <v>404</v>
      </c>
    </row>
    <row r="20" spans="1:11" ht="15">
      <c r="A20" s="131" t="s">
        <v>45</v>
      </c>
      <c r="B20" s="131"/>
      <c r="J20" s="75" t="s">
        <v>59</v>
      </c>
      <c r="K20" s="47"/>
    </row>
    <row r="21" spans="1:2" ht="15">
      <c r="A21" s="34" t="s">
        <v>35</v>
      </c>
      <c r="B21" s="34" t="s">
        <v>36</v>
      </c>
    </row>
    <row r="22" spans="1:11" ht="15">
      <c r="A22" s="42" t="s">
        <v>31</v>
      </c>
      <c r="B22" s="43">
        <v>0.13904533333333333</v>
      </c>
      <c r="J22" s="131" t="s">
        <v>435</v>
      </c>
      <c r="K22" s="131"/>
    </row>
    <row r="23" spans="1:11" ht="15">
      <c r="A23" s="42" t="s">
        <v>32</v>
      </c>
      <c r="B23" s="43">
        <v>0.4616708533333333</v>
      </c>
      <c r="J23" s="78" t="s">
        <v>35</v>
      </c>
      <c r="K23" s="97"/>
    </row>
    <row r="24" spans="1:11" ht="15">
      <c r="A24" s="42" t="s">
        <v>33</v>
      </c>
      <c r="B24" s="43">
        <v>0.3563953333333333</v>
      </c>
      <c r="J24" s="75" t="s">
        <v>436</v>
      </c>
      <c r="K24" s="45">
        <f>'Mão de Obra'!D17</f>
        <v>261326.19227487675</v>
      </c>
    </row>
    <row r="25" spans="1:11" ht="15">
      <c r="A25" s="42" t="s">
        <v>82</v>
      </c>
      <c r="B25" s="43">
        <v>0.2443208533333333</v>
      </c>
      <c r="J25" s="75" t="s">
        <v>437</v>
      </c>
      <c r="K25" s="45">
        <f>'Mão de Obra'!E17</f>
        <v>1.3610739180983165</v>
      </c>
    </row>
    <row r="26" spans="1:11" ht="15">
      <c r="A26" s="41" t="s">
        <v>218</v>
      </c>
      <c r="B26" s="45">
        <v>1.2014323733333332</v>
      </c>
      <c r="J26" s="75" t="s">
        <v>438</v>
      </c>
      <c r="K26" s="45">
        <f>'Mão de Obra'!F17</f>
        <v>0.3402684795245791</v>
      </c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</sheetData>
  <sheetProtection/>
  <mergeCells count="12">
    <mergeCell ref="C2:E2"/>
    <mergeCell ref="F2:H2"/>
    <mergeCell ref="A1:H1"/>
    <mergeCell ref="A2:A3"/>
    <mergeCell ref="B2:B3"/>
    <mergeCell ref="J22:K22"/>
    <mergeCell ref="A20:B20"/>
    <mergeCell ref="J4:K4"/>
    <mergeCell ref="J18:K18"/>
    <mergeCell ref="B12:B13"/>
    <mergeCell ref="A12:A13"/>
    <mergeCell ref="A11:B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5" zoomScaleNormal="115" zoomScalePageLayoutView="0" workbookViewId="0" topLeftCell="A22">
      <selection activeCell="P39" sqref="P39"/>
    </sheetView>
  </sheetViews>
  <sheetFormatPr defaultColWidth="11.7109375" defaultRowHeight="15"/>
  <cols>
    <col min="1" max="1" width="11.7109375" style="14" customWidth="1"/>
    <col min="2" max="8" width="11.7109375" style="12" customWidth="1"/>
    <col min="9" max="9" width="2.57421875" style="12" customWidth="1"/>
    <col min="10" max="17" width="11.7109375" style="12" customWidth="1"/>
    <col min="18" max="18" width="2.7109375" style="12" customWidth="1"/>
    <col min="19" max="16384" width="11.7109375" style="12" customWidth="1"/>
  </cols>
  <sheetData>
    <row r="1" spans="1:21" ht="12.75">
      <c r="A1" s="141" t="s">
        <v>127</v>
      </c>
      <c r="B1" s="142"/>
      <c r="C1" s="142"/>
      <c r="D1" s="142"/>
      <c r="E1" s="142"/>
      <c r="F1" s="142"/>
      <c r="G1" s="142"/>
      <c r="H1" s="143"/>
      <c r="J1" s="141" t="s">
        <v>127</v>
      </c>
      <c r="K1" s="142"/>
      <c r="L1" s="142"/>
      <c r="M1" s="142"/>
      <c r="N1" s="142"/>
      <c r="O1" s="142"/>
      <c r="P1" s="142"/>
      <c r="Q1" s="143"/>
      <c r="S1" s="141" t="s">
        <v>127</v>
      </c>
      <c r="T1" s="142"/>
      <c r="U1" s="142"/>
    </row>
    <row r="2" spans="1:21" s="14" customFormat="1" ht="12.75">
      <c r="A2" s="10" t="s">
        <v>134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J2" s="10" t="s">
        <v>134</v>
      </c>
      <c r="K2" s="13">
        <v>15</v>
      </c>
      <c r="L2" s="13">
        <v>16</v>
      </c>
      <c r="M2" s="13">
        <v>17</v>
      </c>
      <c r="N2" s="13">
        <v>18</v>
      </c>
      <c r="O2" s="13">
        <v>19</v>
      </c>
      <c r="P2" s="13">
        <v>20</v>
      </c>
      <c r="Q2" s="13">
        <v>21</v>
      </c>
      <c r="S2" s="10" t="s">
        <v>134</v>
      </c>
      <c r="T2" s="13">
        <v>29</v>
      </c>
      <c r="U2" s="13">
        <v>30</v>
      </c>
    </row>
    <row r="3" spans="1:21" s="14" customFormat="1" ht="25.5">
      <c r="A3" s="11" t="s">
        <v>133</v>
      </c>
      <c r="B3" s="13" t="s">
        <v>120</v>
      </c>
      <c r="C3" s="13" t="s">
        <v>121</v>
      </c>
      <c r="D3" s="13" t="s">
        <v>122</v>
      </c>
      <c r="E3" s="13" t="s">
        <v>123</v>
      </c>
      <c r="F3" s="13" t="s">
        <v>124</v>
      </c>
      <c r="G3" s="13" t="s">
        <v>125</v>
      </c>
      <c r="H3" s="13" t="s">
        <v>126</v>
      </c>
      <c r="J3" s="11" t="s">
        <v>133</v>
      </c>
      <c r="K3" s="13" t="s">
        <v>120</v>
      </c>
      <c r="L3" s="13" t="s">
        <v>121</v>
      </c>
      <c r="M3" s="13" t="s">
        <v>122</v>
      </c>
      <c r="N3" s="13" t="s">
        <v>123</v>
      </c>
      <c r="O3" s="13" t="s">
        <v>124</v>
      </c>
      <c r="P3" s="13" t="s">
        <v>125</v>
      </c>
      <c r="Q3" s="13" t="s">
        <v>126</v>
      </c>
      <c r="S3" s="11" t="s">
        <v>133</v>
      </c>
      <c r="T3" s="13" t="s">
        <v>120</v>
      </c>
      <c r="U3" s="13" t="s">
        <v>121</v>
      </c>
    </row>
    <row r="4" spans="1:21" s="14" customFormat="1" ht="25.5">
      <c r="A4" s="141" t="s">
        <v>31</v>
      </c>
      <c r="B4" s="142"/>
      <c r="C4" s="142"/>
      <c r="D4" s="142"/>
      <c r="E4" s="142"/>
      <c r="F4" s="142"/>
      <c r="G4" s="142"/>
      <c r="H4" s="143"/>
      <c r="J4" s="141" t="s">
        <v>31</v>
      </c>
      <c r="K4" s="142"/>
      <c r="L4" s="142"/>
      <c r="M4" s="142"/>
      <c r="N4" s="142"/>
      <c r="O4" s="142"/>
      <c r="P4" s="142"/>
      <c r="Q4" s="143"/>
      <c r="S4" s="15" t="s">
        <v>31</v>
      </c>
      <c r="T4" s="16"/>
      <c r="U4" s="16"/>
    </row>
    <row r="5" spans="1:21" ht="25.5">
      <c r="A5" s="10" t="s">
        <v>128</v>
      </c>
      <c r="B5" s="17" t="s">
        <v>8</v>
      </c>
      <c r="C5" s="17" t="s">
        <v>60</v>
      </c>
      <c r="D5" s="17" t="s">
        <v>8</v>
      </c>
      <c r="E5" s="17" t="s">
        <v>60</v>
      </c>
      <c r="F5" s="17" t="s">
        <v>8</v>
      </c>
      <c r="G5" s="17" t="s">
        <v>60</v>
      </c>
      <c r="H5" s="17" t="s">
        <v>8</v>
      </c>
      <c r="J5" s="10" t="s">
        <v>128</v>
      </c>
      <c r="K5" s="17" t="s">
        <v>8</v>
      </c>
      <c r="L5" s="17" t="s">
        <v>60</v>
      </c>
      <c r="M5" s="17" t="s">
        <v>8</v>
      </c>
      <c r="N5" s="17" t="s">
        <v>60</v>
      </c>
      <c r="O5" s="17" t="s">
        <v>8</v>
      </c>
      <c r="P5" s="17" t="s">
        <v>60</v>
      </c>
      <c r="Q5" s="17" t="s">
        <v>8</v>
      </c>
      <c r="S5" s="10" t="s">
        <v>128</v>
      </c>
      <c r="T5" s="17" t="s">
        <v>8</v>
      </c>
      <c r="U5" s="17" t="s">
        <v>60</v>
      </c>
    </row>
    <row r="6" spans="1:21" ht="38.25">
      <c r="A6" s="10" t="s">
        <v>129</v>
      </c>
      <c r="B6" s="17" t="s">
        <v>139</v>
      </c>
      <c r="C6" s="17" t="s">
        <v>135</v>
      </c>
      <c r="D6" s="17" t="s">
        <v>136</v>
      </c>
      <c r="E6" s="17" t="s">
        <v>139</v>
      </c>
      <c r="F6" s="17" t="s">
        <v>135</v>
      </c>
      <c r="G6" s="17" t="s">
        <v>137</v>
      </c>
      <c r="H6" s="17" t="s">
        <v>138</v>
      </c>
      <c r="J6" s="10" t="s">
        <v>129</v>
      </c>
      <c r="K6" s="17" t="s">
        <v>139</v>
      </c>
      <c r="L6" s="17" t="s">
        <v>135</v>
      </c>
      <c r="M6" s="17" t="s">
        <v>136</v>
      </c>
      <c r="N6" s="17" t="s">
        <v>139</v>
      </c>
      <c r="O6" s="17" t="s">
        <v>135</v>
      </c>
      <c r="P6" s="17" t="s">
        <v>137</v>
      </c>
      <c r="Q6" s="17" t="s">
        <v>138</v>
      </c>
      <c r="S6" s="10" t="s">
        <v>129</v>
      </c>
      <c r="T6" s="17" t="s">
        <v>139</v>
      </c>
      <c r="U6" s="17" t="s">
        <v>136</v>
      </c>
    </row>
    <row r="7" spans="1:21" ht="12.75">
      <c r="A7" s="141" t="s">
        <v>32</v>
      </c>
      <c r="B7" s="142"/>
      <c r="C7" s="142"/>
      <c r="D7" s="142"/>
      <c r="E7" s="142"/>
      <c r="F7" s="142"/>
      <c r="G7" s="142"/>
      <c r="H7" s="143"/>
      <c r="J7" s="141" t="s">
        <v>32</v>
      </c>
      <c r="K7" s="142"/>
      <c r="L7" s="142"/>
      <c r="M7" s="142"/>
      <c r="N7" s="142"/>
      <c r="O7" s="142"/>
      <c r="P7" s="142"/>
      <c r="Q7" s="143"/>
      <c r="S7" s="15" t="s">
        <v>32</v>
      </c>
      <c r="T7" s="16"/>
      <c r="U7" s="16"/>
    </row>
    <row r="8" spans="1:21" ht="12.75">
      <c r="A8" s="10" t="s">
        <v>128</v>
      </c>
      <c r="B8" s="17" t="s">
        <v>13</v>
      </c>
      <c r="C8" s="17" t="s">
        <v>13</v>
      </c>
      <c r="D8" s="17" t="s">
        <v>13</v>
      </c>
      <c r="E8" s="17" t="s">
        <v>13</v>
      </c>
      <c r="F8" s="17" t="s">
        <v>13</v>
      </c>
      <c r="G8" s="17" t="s">
        <v>13</v>
      </c>
      <c r="H8" s="17" t="s">
        <v>13</v>
      </c>
      <c r="J8" s="10" t="s">
        <v>128</v>
      </c>
      <c r="K8" s="17" t="s">
        <v>13</v>
      </c>
      <c r="L8" s="17" t="s">
        <v>13</v>
      </c>
      <c r="M8" s="17" t="s">
        <v>13</v>
      </c>
      <c r="N8" s="17" t="s">
        <v>13</v>
      </c>
      <c r="O8" s="17" t="s">
        <v>13</v>
      </c>
      <c r="P8" s="17" t="s">
        <v>13</v>
      </c>
      <c r="Q8" s="17" t="s">
        <v>13</v>
      </c>
      <c r="S8" s="10" t="s">
        <v>128</v>
      </c>
      <c r="T8" s="17" t="s">
        <v>13</v>
      </c>
      <c r="U8" s="17" t="s">
        <v>13</v>
      </c>
    </row>
    <row r="9" spans="1:21" ht="25.5">
      <c r="A9" s="10" t="s">
        <v>129</v>
      </c>
      <c r="B9" s="17" t="s">
        <v>140</v>
      </c>
      <c r="C9" s="17" t="s">
        <v>141</v>
      </c>
      <c r="D9" s="17" t="s">
        <v>140</v>
      </c>
      <c r="E9" s="17" t="s">
        <v>141</v>
      </c>
      <c r="F9" s="17" t="s">
        <v>140</v>
      </c>
      <c r="G9" s="17" t="s">
        <v>141</v>
      </c>
      <c r="H9" s="17" t="s">
        <v>140</v>
      </c>
      <c r="J9" s="10" t="s">
        <v>129</v>
      </c>
      <c r="K9" s="17" t="s">
        <v>140</v>
      </c>
      <c r="L9" s="17" t="s">
        <v>141</v>
      </c>
      <c r="M9" s="17" t="s">
        <v>140</v>
      </c>
      <c r="N9" s="17" t="s">
        <v>141</v>
      </c>
      <c r="O9" s="17" t="s">
        <v>140</v>
      </c>
      <c r="P9" s="17" t="s">
        <v>141</v>
      </c>
      <c r="Q9" s="17" t="s">
        <v>140</v>
      </c>
      <c r="S9" s="10" t="s">
        <v>129</v>
      </c>
      <c r="T9" s="17" t="s">
        <v>140</v>
      </c>
      <c r="U9" s="17" t="s">
        <v>141</v>
      </c>
    </row>
    <row r="10" spans="1:21" ht="25.5">
      <c r="A10" s="10" t="s">
        <v>130</v>
      </c>
      <c r="B10" s="17" t="s">
        <v>81</v>
      </c>
      <c r="C10" s="17" t="s">
        <v>21</v>
      </c>
      <c r="D10" s="17" t="s">
        <v>17</v>
      </c>
      <c r="E10" s="17" t="s">
        <v>199</v>
      </c>
      <c r="F10" s="17" t="s">
        <v>19</v>
      </c>
      <c r="G10" s="17" t="s">
        <v>74</v>
      </c>
      <c r="H10" s="17" t="s">
        <v>18</v>
      </c>
      <c r="J10" s="10" t="s">
        <v>130</v>
      </c>
      <c r="K10" s="17" t="s">
        <v>20</v>
      </c>
      <c r="L10" s="17" t="s">
        <v>200</v>
      </c>
      <c r="M10" s="17" t="s">
        <v>71</v>
      </c>
      <c r="N10" s="17" t="s">
        <v>111</v>
      </c>
      <c r="O10" s="17" t="s">
        <v>72</v>
      </c>
      <c r="P10" s="17" t="s">
        <v>24</v>
      </c>
      <c r="Q10" s="17" t="s">
        <v>25</v>
      </c>
      <c r="S10" s="10" t="s">
        <v>130</v>
      </c>
      <c r="T10" s="17" t="s">
        <v>199</v>
      </c>
      <c r="U10" s="17" t="s">
        <v>24</v>
      </c>
    </row>
    <row r="11" spans="1:21" ht="25.5">
      <c r="A11" s="10" t="s">
        <v>131</v>
      </c>
      <c r="B11" s="17" t="s">
        <v>187</v>
      </c>
      <c r="C11" s="17" t="s">
        <v>188</v>
      </c>
      <c r="D11" s="17" t="s">
        <v>189</v>
      </c>
      <c r="E11" s="17" t="s">
        <v>166</v>
      </c>
      <c r="F11" s="17" t="s">
        <v>190</v>
      </c>
      <c r="G11" s="17" t="s">
        <v>180</v>
      </c>
      <c r="H11" s="17" t="s">
        <v>144</v>
      </c>
      <c r="J11" s="10" t="s">
        <v>131</v>
      </c>
      <c r="K11" s="17" t="s">
        <v>178</v>
      </c>
      <c r="L11" s="17" t="s">
        <v>184</v>
      </c>
      <c r="M11" s="17" t="s">
        <v>194</v>
      </c>
      <c r="N11" s="17" t="s">
        <v>166</v>
      </c>
      <c r="O11" s="17" t="s">
        <v>188</v>
      </c>
      <c r="P11" s="17" t="s">
        <v>191</v>
      </c>
      <c r="Q11" s="17" t="s">
        <v>167</v>
      </c>
      <c r="S11" s="10" t="s">
        <v>131</v>
      </c>
      <c r="T11" s="17" t="s">
        <v>178</v>
      </c>
      <c r="U11" s="17" t="s">
        <v>15</v>
      </c>
    </row>
    <row r="12" spans="1:21" ht="25.5">
      <c r="A12" s="10" t="s">
        <v>132</v>
      </c>
      <c r="B12" s="17" t="s">
        <v>92</v>
      </c>
      <c r="C12" s="17" t="s">
        <v>86</v>
      </c>
      <c r="D12" s="17" t="s">
        <v>93</v>
      </c>
      <c r="E12" s="17" t="s">
        <v>88</v>
      </c>
      <c r="F12" s="17" t="s">
        <v>97</v>
      </c>
      <c r="G12" s="17" t="s">
        <v>84</v>
      </c>
      <c r="H12" s="17" t="s">
        <v>159</v>
      </c>
      <c r="J12" s="10" t="s">
        <v>132</v>
      </c>
      <c r="K12" s="17" t="s">
        <v>90</v>
      </c>
      <c r="L12" s="17" t="s">
        <v>85</v>
      </c>
      <c r="M12" s="17" t="s">
        <v>92</v>
      </c>
      <c r="N12" s="17" t="s">
        <v>87</v>
      </c>
      <c r="O12" s="17" t="s">
        <v>93</v>
      </c>
      <c r="P12" s="17" t="s">
        <v>83</v>
      </c>
      <c r="Q12" s="17" t="s">
        <v>88</v>
      </c>
      <c r="S12" s="10" t="s">
        <v>132</v>
      </c>
      <c r="T12" s="17" t="s">
        <v>95</v>
      </c>
      <c r="U12" s="17" t="s">
        <v>86</v>
      </c>
    </row>
    <row r="13" spans="1:21" ht="12.75">
      <c r="A13" s="141" t="s">
        <v>33</v>
      </c>
      <c r="B13" s="142"/>
      <c r="C13" s="142"/>
      <c r="D13" s="142"/>
      <c r="E13" s="142"/>
      <c r="F13" s="142"/>
      <c r="G13" s="142"/>
      <c r="H13" s="143"/>
      <c r="J13" s="141" t="s">
        <v>33</v>
      </c>
      <c r="K13" s="142"/>
      <c r="L13" s="142"/>
      <c r="M13" s="142"/>
      <c r="N13" s="142"/>
      <c r="O13" s="142"/>
      <c r="P13" s="142"/>
      <c r="Q13" s="143"/>
      <c r="S13" s="15" t="s">
        <v>33</v>
      </c>
      <c r="T13" s="16"/>
      <c r="U13" s="16"/>
    </row>
    <row r="14" spans="1:21" ht="12.75">
      <c r="A14" s="10" t="s">
        <v>128</v>
      </c>
      <c r="B14" s="17" t="s">
        <v>13</v>
      </c>
      <c r="C14" s="17" t="s">
        <v>13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J14" s="10" t="s">
        <v>128</v>
      </c>
      <c r="K14" s="17" t="s">
        <v>13</v>
      </c>
      <c r="L14" s="17" t="s">
        <v>13</v>
      </c>
      <c r="M14" s="17" t="s">
        <v>13</v>
      </c>
      <c r="N14" s="17" t="s">
        <v>13</v>
      </c>
      <c r="O14" s="17" t="s">
        <v>13</v>
      </c>
      <c r="P14" s="17" t="s">
        <v>13</v>
      </c>
      <c r="Q14" s="17" t="s">
        <v>13</v>
      </c>
      <c r="S14" s="10" t="s">
        <v>128</v>
      </c>
      <c r="T14" s="17" t="s">
        <v>13</v>
      </c>
      <c r="U14" s="17" t="s">
        <v>13</v>
      </c>
    </row>
    <row r="15" spans="1:21" ht="25.5">
      <c r="A15" s="10" t="s">
        <v>129</v>
      </c>
      <c r="B15" s="17" t="s">
        <v>141</v>
      </c>
      <c r="C15" s="17" t="s">
        <v>140</v>
      </c>
      <c r="D15" s="17" t="s">
        <v>141</v>
      </c>
      <c r="E15" s="17" t="s">
        <v>140</v>
      </c>
      <c r="F15" s="17" t="s">
        <v>141</v>
      </c>
      <c r="G15" s="17" t="s">
        <v>140</v>
      </c>
      <c r="H15" s="17" t="s">
        <v>141</v>
      </c>
      <c r="J15" s="10" t="s">
        <v>129</v>
      </c>
      <c r="K15" s="17" t="s">
        <v>141</v>
      </c>
      <c r="L15" s="17" t="s">
        <v>140</v>
      </c>
      <c r="M15" s="17" t="s">
        <v>141</v>
      </c>
      <c r="N15" s="17" t="s">
        <v>140</v>
      </c>
      <c r="O15" s="17" t="s">
        <v>141</v>
      </c>
      <c r="P15" s="17" t="s">
        <v>140</v>
      </c>
      <c r="Q15" s="17" t="s">
        <v>141</v>
      </c>
      <c r="S15" s="10" t="s">
        <v>129</v>
      </c>
      <c r="T15" s="17" t="s">
        <v>141</v>
      </c>
      <c r="U15" s="17" t="s">
        <v>140</v>
      </c>
    </row>
    <row r="16" spans="1:21" ht="25.5">
      <c r="A16" s="10" t="s">
        <v>130</v>
      </c>
      <c r="B16" s="17" t="s">
        <v>71</v>
      </c>
      <c r="C16" s="17" t="s">
        <v>80</v>
      </c>
      <c r="D16" s="17" t="s">
        <v>24</v>
      </c>
      <c r="E16" s="17" t="s">
        <v>23</v>
      </c>
      <c r="F16" s="17" t="s">
        <v>22</v>
      </c>
      <c r="G16" s="17" t="s">
        <v>26</v>
      </c>
      <c r="H16" s="17" t="s">
        <v>25</v>
      </c>
      <c r="J16" s="10" t="s">
        <v>130</v>
      </c>
      <c r="K16" s="17" t="s">
        <v>73</v>
      </c>
      <c r="L16" s="17" t="s">
        <v>80</v>
      </c>
      <c r="M16" s="17" t="s">
        <v>73</v>
      </c>
      <c r="N16" s="17" t="s">
        <v>25</v>
      </c>
      <c r="O16" s="17" t="s">
        <v>26</v>
      </c>
      <c r="P16" s="17" t="s">
        <v>19</v>
      </c>
      <c r="Q16" s="17" t="s">
        <v>74</v>
      </c>
      <c r="S16" s="10" t="s">
        <v>130</v>
      </c>
      <c r="T16" s="17" t="s">
        <v>79</v>
      </c>
      <c r="U16" s="17" t="s">
        <v>73</v>
      </c>
    </row>
    <row r="17" spans="1:21" ht="25.5">
      <c r="A17" s="10" t="s">
        <v>131</v>
      </c>
      <c r="B17" s="17" t="s">
        <v>191</v>
      </c>
      <c r="C17" s="17" t="s">
        <v>186</v>
      </c>
      <c r="D17" s="17" t="s">
        <v>192</v>
      </c>
      <c r="E17" s="17" t="s">
        <v>193</v>
      </c>
      <c r="F17" s="17" t="s">
        <v>167</v>
      </c>
      <c r="G17" s="17" t="s">
        <v>195</v>
      </c>
      <c r="H17" s="17" t="s">
        <v>169</v>
      </c>
      <c r="J17" s="10" t="s">
        <v>131</v>
      </c>
      <c r="K17" s="17" t="s">
        <v>195</v>
      </c>
      <c r="L17" s="17" t="s">
        <v>187</v>
      </c>
      <c r="M17" s="17" t="s">
        <v>180</v>
      </c>
      <c r="N17" s="17" t="s">
        <v>144</v>
      </c>
      <c r="O17" s="17" t="s">
        <v>189</v>
      </c>
      <c r="P17" s="17" t="s">
        <v>192</v>
      </c>
      <c r="Q17" s="17" t="s">
        <v>177</v>
      </c>
      <c r="S17" s="10" t="s">
        <v>131</v>
      </c>
      <c r="T17" s="17" t="s">
        <v>186</v>
      </c>
      <c r="U17" s="17" t="s">
        <v>169</v>
      </c>
    </row>
    <row r="18" spans="1:21" ht="25.5">
      <c r="A18" s="141" t="s">
        <v>82</v>
      </c>
      <c r="B18" s="142"/>
      <c r="C18" s="142"/>
      <c r="D18" s="142"/>
      <c r="E18" s="142"/>
      <c r="F18" s="142"/>
      <c r="G18" s="142"/>
      <c r="H18" s="143"/>
      <c r="J18" s="141" t="s">
        <v>82</v>
      </c>
      <c r="K18" s="142"/>
      <c r="L18" s="142"/>
      <c r="M18" s="142"/>
      <c r="N18" s="142"/>
      <c r="O18" s="142"/>
      <c r="P18" s="142"/>
      <c r="Q18" s="143"/>
      <c r="S18" s="15" t="s">
        <v>82</v>
      </c>
      <c r="T18" s="16"/>
      <c r="U18" s="16"/>
    </row>
    <row r="19" spans="1:21" ht="51">
      <c r="A19" s="10" t="s">
        <v>128</v>
      </c>
      <c r="B19" s="17" t="s">
        <v>145</v>
      </c>
      <c r="C19" s="17" t="s">
        <v>156</v>
      </c>
      <c r="D19" s="17" t="s">
        <v>147</v>
      </c>
      <c r="E19" s="17" t="s">
        <v>157</v>
      </c>
      <c r="F19" s="17" t="s">
        <v>152</v>
      </c>
      <c r="G19" s="17" t="s">
        <v>158</v>
      </c>
      <c r="H19" s="17" t="s">
        <v>146</v>
      </c>
      <c r="J19" s="10" t="s">
        <v>128</v>
      </c>
      <c r="K19" s="17" t="s">
        <v>152</v>
      </c>
      <c r="L19" s="17" t="s">
        <v>156</v>
      </c>
      <c r="M19" s="17" t="s">
        <v>160</v>
      </c>
      <c r="N19" s="17" t="s">
        <v>157</v>
      </c>
      <c r="O19" s="17" t="s">
        <v>150</v>
      </c>
      <c r="P19" s="17" t="s">
        <v>161</v>
      </c>
      <c r="Q19" s="17" t="s">
        <v>154</v>
      </c>
      <c r="S19" s="10" t="s">
        <v>128</v>
      </c>
      <c r="T19" s="17" t="s">
        <v>150</v>
      </c>
      <c r="U19" s="17" t="s">
        <v>156</v>
      </c>
    </row>
    <row r="20" spans="1:21" ht="12.75">
      <c r="A20" s="10" t="s">
        <v>129</v>
      </c>
      <c r="B20" s="17" t="s">
        <v>119</v>
      </c>
      <c r="C20" s="17" t="s">
        <v>89</v>
      </c>
      <c r="D20" s="17" t="s">
        <v>83</v>
      </c>
      <c r="E20" s="17" t="s">
        <v>85</v>
      </c>
      <c r="F20" s="17" t="s">
        <v>88</v>
      </c>
      <c r="G20" s="17" t="s">
        <v>83</v>
      </c>
      <c r="H20" s="17" t="s">
        <v>86</v>
      </c>
      <c r="J20" s="10" t="s">
        <v>129</v>
      </c>
      <c r="K20" s="17" t="s">
        <v>85</v>
      </c>
      <c r="L20" s="17" t="s">
        <v>87</v>
      </c>
      <c r="M20" s="17" t="s">
        <v>84</v>
      </c>
      <c r="N20" s="17" t="s">
        <v>86</v>
      </c>
      <c r="O20" s="17" t="s">
        <v>88</v>
      </c>
      <c r="P20" s="17" t="s">
        <v>83</v>
      </c>
      <c r="Q20" s="17" t="s">
        <v>159</v>
      </c>
      <c r="S20" s="10" t="s">
        <v>129</v>
      </c>
      <c r="T20" s="17" t="s">
        <v>83</v>
      </c>
      <c r="U20" s="17" t="s">
        <v>85</v>
      </c>
    </row>
    <row r="22" ht="12.75">
      <c r="A22" s="12"/>
    </row>
    <row r="23" ht="12.75">
      <c r="A23" s="12"/>
    </row>
    <row r="24" spans="1:17" ht="12.75">
      <c r="A24" s="10" t="s">
        <v>134</v>
      </c>
      <c r="B24" s="13">
        <v>8</v>
      </c>
      <c r="C24" s="13">
        <v>9</v>
      </c>
      <c r="D24" s="13">
        <v>10</v>
      </c>
      <c r="E24" s="13">
        <v>11</v>
      </c>
      <c r="F24" s="13">
        <v>12</v>
      </c>
      <c r="G24" s="13">
        <v>13</v>
      </c>
      <c r="H24" s="13">
        <v>14</v>
      </c>
      <c r="J24" s="10" t="s">
        <v>134</v>
      </c>
      <c r="K24" s="13">
        <v>22</v>
      </c>
      <c r="L24" s="13">
        <v>23</v>
      </c>
      <c r="M24" s="13">
        <v>24</v>
      </c>
      <c r="N24" s="13">
        <v>25</v>
      </c>
      <c r="O24" s="13">
        <v>26</v>
      </c>
      <c r="P24" s="13">
        <v>27</v>
      </c>
      <c r="Q24" s="13">
        <v>28</v>
      </c>
    </row>
    <row r="25" spans="1:17" ht="25.5">
      <c r="A25" s="11" t="s">
        <v>133</v>
      </c>
      <c r="B25" s="13" t="s">
        <v>120</v>
      </c>
      <c r="C25" s="13" t="s">
        <v>121</v>
      </c>
      <c r="D25" s="13" t="s">
        <v>122</v>
      </c>
      <c r="E25" s="13" t="s">
        <v>123</v>
      </c>
      <c r="F25" s="13" t="s">
        <v>124</v>
      </c>
      <c r="G25" s="13" t="s">
        <v>125</v>
      </c>
      <c r="H25" s="13" t="s">
        <v>126</v>
      </c>
      <c r="J25" s="11" t="s">
        <v>133</v>
      </c>
      <c r="K25" s="13" t="s">
        <v>120</v>
      </c>
      <c r="L25" s="13" t="s">
        <v>121</v>
      </c>
      <c r="M25" s="13" t="s">
        <v>122</v>
      </c>
      <c r="N25" s="13" t="s">
        <v>123</v>
      </c>
      <c r="O25" s="13" t="s">
        <v>124</v>
      </c>
      <c r="P25" s="13" t="s">
        <v>125</v>
      </c>
      <c r="Q25" s="13" t="s">
        <v>126</v>
      </c>
    </row>
    <row r="26" spans="1:17" ht="12.75">
      <c r="A26" s="141" t="s">
        <v>31</v>
      </c>
      <c r="B26" s="142"/>
      <c r="C26" s="142"/>
      <c r="D26" s="142"/>
      <c r="E26" s="142"/>
      <c r="F26" s="142"/>
      <c r="G26" s="142"/>
      <c r="H26" s="143"/>
      <c r="J26" s="141" t="s">
        <v>31</v>
      </c>
      <c r="K26" s="142"/>
      <c r="L26" s="142"/>
      <c r="M26" s="142"/>
      <c r="N26" s="142"/>
      <c r="O26" s="142"/>
      <c r="P26" s="142"/>
      <c r="Q26" s="143"/>
    </row>
    <row r="27" spans="1:17" ht="25.5">
      <c r="A27" s="10" t="s">
        <v>128</v>
      </c>
      <c r="B27" s="17" t="s">
        <v>8</v>
      </c>
      <c r="C27" s="17" t="s">
        <v>60</v>
      </c>
      <c r="D27" s="17" t="s">
        <v>8</v>
      </c>
      <c r="E27" s="17" t="s">
        <v>60</v>
      </c>
      <c r="F27" s="17" t="s">
        <v>8</v>
      </c>
      <c r="G27" s="17" t="s">
        <v>60</v>
      </c>
      <c r="H27" s="17" t="s">
        <v>8</v>
      </c>
      <c r="J27" s="10" t="s">
        <v>128</v>
      </c>
      <c r="K27" s="17" t="s">
        <v>8</v>
      </c>
      <c r="L27" s="17" t="s">
        <v>60</v>
      </c>
      <c r="M27" s="17" t="s">
        <v>8</v>
      </c>
      <c r="N27" s="17" t="s">
        <v>60</v>
      </c>
      <c r="O27" s="17" t="s">
        <v>8</v>
      </c>
      <c r="P27" s="17" t="s">
        <v>60</v>
      </c>
      <c r="Q27" s="17" t="s">
        <v>8</v>
      </c>
    </row>
    <row r="28" spans="1:17" ht="38.25">
      <c r="A28" s="10" t="s">
        <v>129</v>
      </c>
      <c r="B28" s="17" t="s">
        <v>139</v>
      </c>
      <c r="C28" s="17" t="s">
        <v>135</v>
      </c>
      <c r="D28" s="17" t="s">
        <v>136</v>
      </c>
      <c r="E28" s="17" t="s">
        <v>139</v>
      </c>
      <c r="F28" s="17" t="s">
        <v>135</v>
      </c>
      <c r="G28" s="17" t="s">
        <v>137</v>
      </c>
      <c r="H28" s="17" t="s">
        <v>138</v>
      </c>
      <c r="J28" s="10" t="s">
        <v>129</v>
      </c>
      <c r="K28" s="17" t="s">
        <v>139</v>
      </c>
      <c r="L28" s="17" t="s">
        <v>135</v>
      </c>
      <c r="M28" s="17" t="s">
        <v>136</v>
      </c>
      <c r="N28" s="17" t="s">
        <v>139</v>
      </c>
      <c r="O28" s="17" t="s">
        <v>135</v>
      </c>
      <c r="P28" s="17" t="s">
        <v>137</v>
      </c>
      <c r="Q28" s="17" t="s">
        <v>138</v>
      </c>
    </row>
    <row r="29" spans="1:17" ht="12.75">
      <c r="A29" s="141" t="s">
        <v>32</v>
      </c>
      <c r="B29" s="142"/>
      <c r="C29" s="142"/>
      <c r="D29" s="142"/>
      <c r="E29" s="142"/>
      <c r="F29" s="142"/>
      <c r="G29" s="142"/>
      <c r="H29" s="143"/>
      <c r="J29" s="141" t="s">
        <v>32</v>
      </c>
      <c r="K29" s="142"/>
      <c r="L29" s="142"/>
      <c r="M29" s="142"/>
      <c r="N29" s="142"/>
      <c r="O29" s="142"/>
      <c r="P29" s="142"/>
      <c r="Q29" s="143"/>
    </row>
    <row r="30" spans="1:17" ht="12.75">
      <c r="A30" s="10" t="s">
        <v>128</v>
      </c>
      <c r="B30" s="17" t="s">
        <v>13</v>
      </c>
      <c r="C30" s="17" t="s">
        <v>13</v>
      </c>
      <c r="D30" s="17" t="s">
        <v>13</v>
      </c>
      <c r="E30" s="17" t="s">
        <v>13</v>
      </c>
      <c r="F30" s="17" t="s">
        <v>13</v>
      </c>
      <c r="G30" s="17" t="s">
        <v>13</v>
      </c>
      <c r="H30" s="17" t="s">
        <v>13</v>
      </c>
      <c r="J30" s="10" t="s">
        <v>128</v>
      </c>
      <c r="K30" s="17" t="s">
        <v>13</v>
      </c>
      <c r="L30" s="17" t="s">
        <v>13</v>
      </c>
      <c r="M30" s="17" t="s">
        <v>13</v>
      </c>
      <c r="N30" s="17" t="s">
        <v>13</v>
      </c>
      <c r="O30" s="17" t="s">
        <v>13</v>
      </c>
      <c r="P30" s="17" t="s">
        <v>13</v>
      </c>
      <c r="Q30" s="17" t="s">
        <v>13</v>
      </c>
    </row>
    <row r="31" spans="1:17" ht="25.5">
      <c r="A31" s="10" t="s">
        <v>129</v>
      </c>
      <c r="B31" s="17" t="s">
        <v>140</v>
      </c>
      <c r="C31" s="17" t="s">
        <v>141</v>
      </c>
      <c r="D31" s="17" t="s">
        <v>140</v>
      </c>
      <c r="E31" s="17" t="s">
        <v>141</v>
      </c>
      <c r="F31" s="17" t="s">
        <v>140</v>
      </c>
      <c r="G31" s="17" t="s">
        <v>141</v>
      </c>
      <c r="H31" s="17" t="s">
        <v>140</v>
      </c>
      <c r="J31" s="10" t="s">
        <v>129</v>
      </c>
      <c r="K31" s="17" t="s">
        <v>140</v>
      </c>
      <c r="L31" s="17" t="s">
        <v>141</v>
      </c>
      <c r="M31" s="17" t="s">
        <v>140</v>
      </c>
      <c r="N31" s="17" t="s">
        <v>141</v>
      </c>
      <c r="O31" s="17" t="s">
        <v>140</v>
      </c>
      <c r="P31" s="17" t="s">
        <v>141</v>
      </c>
      <c r="Q31" s="17" t="s">
        <v>140</v>
      </c>
    </row>
    <row r="32" spans="1:17" ht="25.5">
      <c r="A32" s="10" t="s">
        <v>130</v>
      </c>
      <c r="B32" s="17" t="s">
        <v>25</v>
      </c>
      <c r="C32" s="17" t="s">
        <v>26</v>
      </c>
      <c r="D32" s="17" t="s">
        <v>81</v>
      </c>
      <c r="E32" s="17" t="s">
        <v>72</v>
      </c>
      <c r="F32" s="17" t="s">
        <v>21</v>
      </c>
      <c r="G32" s="17" t="s">
        <v>23</v>
      </c>
      <c r="H32" s="17" t="s">
        <v>73</v>
      </c>
      <c r="J32" s="10" t="s">
        <v>130</v>
      </c>
      <c r="K32" s="17" t="s">
        <v>25</v>
      </c>
      <c r="L32" s="17" t="s">
        <v>74</v>
      </c>
      <c r="M32" s="17" t="s">
        <v>23</v>
      </c>
      <c r="N32" s="17" t="s">
        <v>19</v>
      </c>
      <c r="O32" s="17" t="s">
        <v>199</v>
      </c>
      <c r="P32" s="17" t="s">
        <v>20</v>
      </c>
      <c r="Q32" s="17" t="s">
        <v>72</v>
      </c>
    </row>
    <row r="33" spans="1:17" ht="25.5">
      <c r="A33" s="10" t="s">
        <v>131</v>
      </c>
      <c r="B33" s="17" t="s">
        <v>182</v>
      </c>
      <c r="C33" s="17" t="s">
        <v>196</v>
      </c>
      <c r="D33" s="17" t="s">
        <v>168</v>
      </c>
      <c r="E33" s="17" t="s">
        <v>15</v>
      </c>
      <c r="F33" s="17" t="s">
        <v>181</v>
      </c>
      <c r="G33" s="17" t="s">
        <v>198</v>
      </c>
      <c r="H33" s="17" t="s">
        <v>196</v>
      </c>
      <c r="J33" s="10" t="s">
        <v>131</v>
      </c>
      <c r="K33" s="17" t="s">
        <v>172</v>
      </c>
      <c r="L33" s="17" t="s">
        <v>143</v>
      </c>
      <c r="M33" s="17" t="s">
        <v>194</v>
      </c>
      <c r="N33" s="17" t="s">
        <v>168</v>
      </c>
      <c r="O33" s="17" t="s">
        <v>177</v>
      </c>
      <c r="P33" s="17" t="s">
        <v>180</v>
      </c>
      <c r="Q33" s="17" t="s">
        <v>175</v>
      </c>
    </row>
    <row r="34" spans="1:17" ht="12.75">
      <c r="A34" s="10" t="s">
        <v>132</v>
      </c>
      <c r="B34" s="17" t="s">
        <v>90</v>
      </c>
      <c r="C34" s="17" t="s">
        <v>89</v>
      </c>
      <c r="D34" s="17" t="s">
        <v>91</v>
      </c>
      <c r="E34" s="17" t="s">
        <v>83</v>
      </c>
      <c r="F34" s="17" t="s">
        <v>94</v>
      </c>
      <c r="G34" s="17" t="s">
        <v>85</v>
      </c>
      <c r="H34" s="17" t="s">
        <v>159</v>
      </c>
      <c r="J34" s="10" t="s">
        <v>132</v>
      </c>
      <c r="K34" s="17" t="s">
        <v>85</v>
      </c>
      <c r="L34" s="17" t="s">
        <v>95</v>
      </c>
      <c r="M34" s="17" t="s">
        <v>83</v>
      </c>
      <c r="N34" s="17" t="s">
        <v>91</v>
      </c>
      <c r="O34" s="17" t="s">
        <v>119</v>
      </c>
      <c r="P34" s="17" t="s">
        <v>96</v>
      </c>
      <c r="Q34" s="17" t="s">
        <v>83</v>
      </c>
    </row>
    <row r="35" spans="1:17" ht="12.75">
      <c r="A35" s="141" t="s">
        <v>33</v>
      </c>
      <c r="B35" s="142"/>
      <c r="C35" s="142"/>
      <c r="D35" s="142"/>
      <c r="E35" s="142"/>
      <c r="F35" s="142"/>
      <c r="G35" s="142"/>
      <c r="H35" s="143"/>
      <c r="J35" s="141" t="s">
        <v>33</v>
      </c>
      <c r="K35" s="142"/>
      <c r="L35" s="142"/>
      <c r="M35" s="142"/>
      <c r="N35" s="142"/>
      <c r="O35" s="142"/>
      <c r="P35" s="142"/>
      <c r="Q35" s="143"/>
    </row>
    <row r="36" spans="1:17" ht="12.75">
      <c r="A36" s="10" t="s">
        <v>128</v>
      </c>
      <c r="B36" s="17" t="s">
        <v>13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J36" s="10" t="s">
        <v>128</v>
      </c>
      <c r="K36" s="17" t="s">
        <v>13</v>
      </c>
      <c r="L36" s="17" t="s">
        <v>13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</row>
    <row r="37" spans="1:17" ht="25.5">
      <c r="A37" s="10" t="s">
        <v>129</v>
      </c>
      <c r="B37" s="17" t="s">
        <v>141</v>
      </c>
      <c r="C37" s="17" t="s">
        <v>140</v>
      </c>
      <c r="D37" s="17" t="s">
        <v>141</v>
      </c>
      <c r="E37" s="17" t="s">
        <v>140</v>
      </c>
      <c r="F37" s="17" t="s">
        <v>141</v>
      </c>
      <c r="G37" s="17" t="s">
        <v>140</v>
      </c>
      <c r="H37" s="17" t="s">
        <v>141</v>
      </c>
      <c r="J37" s="10" t="s">
        <v>129</v>
      </c>
      <c r="K37" s="17" t="s">
        <v>141</v>
      </c>
      <c r="L37" s="17" t="s">
        <v>140</v>
      </c>
      <c r="M37" s="17" t="s">
        <v>141</v>
      </c>
      <c r="N37" s="17" t="s">
        <v>140</v>
      </c>
      <c r="O37" s="17" t="s">
        <v>141</v>
      </c>
      <c r="P37" s="17" t="s">
        <v>140</v>
      </c>
      <c r="Q37" s="17" t="s">
        <v>141</v>
      </c>
    </row>
    <row r="38" spans="1:17" ht="12.75">
      <c r="A38" s="10" t="s">
        <v>130</v>
      </c>
      <c r="B38" s="17" t="s">
        <v>24</v>
      </c>
      <c r="C38" s="17" t="s">
        <v>18</v>
      </c>
      <c r="D38" s="17" t="s">
        <v>17</v>
      </c>
      <c r="E38" s="17" t="s">
        <v>26</v>
      </c>
      <c r="F38" s="17" t="s">
        <v>79</v>
      </c>
      <c r="G38" s="17" t="s">
        <v>71</v>
      </c>
      <c r="H38" s="17" t="s">
        <v>23</v>
      </c>
      <c r="J38" s="10" t="s">
        <v>130</v>
      </c>
      <c r="K38" s="17" t="s">
        <v>18</v>
      </c>
      <c r="L38" s="17" t="s">
        <v>81</v>
      </c>
      <c r="M38" s="17" t="s">
        <v>21</v>
      </c>
      <c r="N38" s="17" t="s">
        <v>17</v>
      </c>
      <c r="O38" s="17" t="s">
        <v>17</v>
      </c>
      <c r="P38" s="17" t="s">
        <v>22</v>
      </c>
      <c r="Q38" s="17" t="s">
        <v>25</v>
      </c>
    </row>
    <row r="39" spans="1:17" ht="25.5">
      <c r="A39" s="10" t="s">
        <v>131</v>
      </c>
      <c r="B39" s="17" t="s">
        <v>172</v>
      </c>
      <c r="C39" s="17" t="s">
        <v>143</v>
      </c>
      <c r="D39" s="17" t="s">
        <v>197</v>
      </c>
      <c r="E39" s="17" t="s">
        <v>178</v>
      </c>
      <c r="F39" s="17" t="s">
        <v>182</v>
      </c>
      <c r="G39" s="17" t="s">
        <v>186</v>
      </c>
      <c r="H39" s="17" t="s">
        <v>171</v>
      </c>
      <c r="J39" s="10" t="s">
        <v>131</v>
      </c>
      <c r="K39" s="17" t="s">
        <v>196</v>
      </c>
      <c r="L39" s="17" t="s">
        <v>181</v>
      </c>
      <c r="M39" s="17" t="s">
        <v>175</v>
      </c>
      <c r="N39" s="17" t="s">
        <v>171</v>
      </c>
      <c r="O39" s="17" t="s">
        <v>144</v>
      </c>
      <c r="P39" s="17" t="s">
        <v>186</v>
      </c>
      <c r="Q39" s="17" t="s">
        <v>188</v>
      </c>
    </row>
    <row r="40" spans="1:17" ht="25.5" customHeight="1">
      <c r="A40" s="141" t="s">
        <v>82</v>
      </c>
      <c r="B40" s="142"/>
      <c r="C40" s="142"/>
      <c r="D40" s="142"/>
      <c r="E40" s="142"/>
      <c r="F40" s="142"/>
      <c r="G40" s="142"/>
      <c r="H40" s="143"/>
      <c r="J40" s="141" t="s">
        <v>82</v>
      </c>
      <c r="K40" s="142"/>
      <c r="L40" s="142"/>
      <c r="M40" s="142"/>
      <c r="N40" s="142"/>
      <c r="O40" s="142"/>
      <c r="P40" s="142"/>
      <c r="Q40" s="143"/>
    </row>
    <row r="41" spans="1:17" ht="38.25">
      <c r="A41" s="10" t="s">
        <v>128</v>
      </c>
      <c r="B41" s="17" t="s">
        <v>148</v>
      </c>
      <c r="C41" s="17" t="s">
        <v>156</v>
      </c>
      <c r="D41" s="17" t="s">
        <v>151</v>
      </c>
      <c r="E41" s="17" t="s">
        <v>157</v>
      </c>
      <c r="F41" s="17" t="s">
        <v>145</v>
      </c>
      <c r="G41" s="17" t="s">
        <v>158</v>
      </c>
      <c r="H41" s="17" t="s">
        <v>147</v>
      </c>
      <c r="J41" s="10" t="s">
        <v>128</v>
      </c>
      <c r="K41" s="17" t="s">
        <v>148</v>
      </c>
      <c r="L41" s="17" t="s">
        <v>156</v>
      </c>
      <c r="M41" s="17" t="s">
        <v>153</v>
      </c>
      <c r="N41" s="17" t="s">
        <v>157</v>
      </c>
      <c r="O41" s="17" t="s">
        <v>155</v>
      </c>
      <c r="P41" s="17" t="s">
        <v>158</v>
      </c>
      <c r="Q41" s="17" t="s">
        <v>149</v>
      </c>
    </row>
    <row r="42" spans="1:17" ht="12.75">
      <c r="A42" s="10" t="s">
        <v>129</v>
      </c>
      <c r="B42" s="17" t="s">
        <v>85</v>
      </c>
      <c r="C42" s="17" t="s">
        <v>87</v>
      </c>
      <c r="D42" s="17" t="s">
        <v>159</v>
      </c>
      <c r="E42" s="17" t="s">
        <v>85</v>
      </c>
      <c r="F42" s="17" t="s">
        <v>83</v>
      </c>
      <c r="G42" s="17" t="s">
        <v>89</v>
      </c>
      <c r="H42" s="17" t="s">
        <v>88</v>
      </c>
      <c r="J42" s="10" t="s">
        <v>129</v>
      </c>
      <c r="K42" s="17" t="s">
        <v>87</v>
      </c>
      <c r="L42" s="17" t="s">
        <v>119</v>
      </c>
      <c r="M42" s="17" t="s">
        <v>86</v>
      </c>
      <c r="N42" s="17" t="s">
        <v>83</v>
      </c>
      <c r="O42" s="17" t="s">
        <v>89</v>
      </c>
      <c r="P42" s="17" t="s">
        <v>159</v>
      </c>
      <c r="Q42" s="17" t="s">
        <v>84</v>
      </c>
    </row>
  </sheetData>
  <sheetProtection/>
  <mergeCells count="19">
    <mergeCell ref="J7:Q7"/>
    <mergeCell ref="J13:Q13"/>
    <mergeCell ref="J18:Q18"/>
    <mergeCell ref="S1:U1"/>
    <mergeCell ref="J26:Q26"/>
    <mergeCell ref="A40:H40"/>
    <mergeCell ref="A35:H35"/>
    <mergeCell ref="J35:Q35"/>
    <mergeCell ref="J40:Q40"/>
    <mergeCell ref="J29:Q29"/>
    <mergeCell ref="A29:H29"/>
    <mergeCell ref="J1:Q1"/>
    <mergeCell ref="J4:Q4"/>
    <mergeCell ref="A1:H1"/>
    <mergeCell ref="A7:H7"/>
    <mergeCell ref="A13:H13"/>
    <mergeCell ref="A18:H18"/>
    <mergeCell ref="A4:H4"/>
    <mergeCell ref="A26:H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8" sqref="G108"/>
    </sheetView>
  </sheetViews>
  <sheetFormatPr defaultColWidth="9.140625" defaultRowHeight="15"/>
  <cols>
    <col min="1" max="2" width="14.140625" style="1" bestFit="1" customWidth="1"/>
    <col min="3" max="3" width="19.8515625" style="9" customWidth="1"/>
    <col min="4" max="10" width="15.57421875" style="1" customWidth="1"/>
    <col min="11" max="12" width="15.57421875" style="2" customWidth="1"/>
    <col min="13" max="13" width="29.421875" style="1" customWidth="1"/>
    <col min="14" max="14" width="26.57421875" style="1" customWidth="1"/>
    <col min="15" max="15" width="26.421875" style="1" customWidth="1"/>
    <col min="16" max="16" width="29.00390625" style="1" customWidth="1"/>
    <col min="17" max="17" width="32.28125" style="1" customWidth="1"/>
    <col min="18" max="18" width="28.7109375" style="1" customWidth="1"/>
    <col min="19" max="19" width="18.421875" style="1" bestFit="1" customWidth="1"/>
    <col min="20" max="20" width="16.8515625" style="1" bestFit="1" customWidth="1"/>
    <col min="21" max="16384" width="9.140625" style="1" customWidth="1"/>
  </cols>
  <sheetData>
    <row r="1" spans="1:13" ht="15">
      <c r="A1" s="158" t="s">
        <v>11</v>
      </c>
      <c r="B1" s="162" t="s">
        <v>77</v>
      </c>
      <c r="C1" s="164" t="s">
        <v>7</v>
      </c>
      <c r="D1" s="162" t="s">
        <v>0</v>
      </c>
      <c r="E1" s="162" t="s">
        <v>1</v>
      </c>
      <c r="F1" s="162"/>
      <c r="G1" s="162" t="s">
        <v>3</v>
      </c>
      <c r="H1" s="162"/>
      <c r="I1" s="162" t="s">
        <v>4</v>
      </c>
      <c r="J1" s="162"/>
      <c r="K1" s="24" t="s">
        <v>5</v>
      </c>
      <c r="L1" s="153" t="s">
        <v>6</v>
      </c>
      <c r="M1" s="153" t="s">
        <v>410</v>
      </c>
    </row>
    <row r="2" spans="1:18" ht="15.75" thickBot="1">
      <c r="A2" s="159"/>
      <c r="B2" s="163"/>
      <c r="C2" s="165"/>
      <c r="D2" s="163"/>
      <c r="E2" s="25" t="s">
        <v>2</v>
      </c>
      <c r="F2" s="86" t="s">
        <v>0</v>
      </c>
      <c r="G2" s="25" t="s">
        <v>2</v>
      </c>
      <c r="H2" s="25" t="s">
        <v>0</v>
      </c>
      <c r="I2" s="25" t="s">
        <v>2</v>
      </c>
      <c r="J2" s="25" t="s">
        <v>0</v>
      </c>
      <c r="K2" s="26" t="s">
        <v>2</v>
      </c>
      <c r="L2" s="161"/>
      <c r="M2" s="154"/>
      <c r="N2" s="144" t="s">
        <v>12</v>
      </c>
      <c r="O2" s="144"/>
      <c r="P2" s="144"/>
      <c r="Q2" s="144"/>
      <c r="R2" s="144"/>
    </row>
    <row r="3" spans="1:18" ht="15.75" thickBot="1">
      <c r="A3" s="149" t="s">
        <v>12</v>
      </c>
      <c r="B3" s="160" t="s">
        <v>78</v>
      </c>
      <c r="C3" s="18" t="s">
        <v>8</v>
      </c>
      <c r="D3" s="85" t="s">
        <v>27</v>
      </c>
      <c r="E3" s="85">
        <v>17</v>
      </c>
      <c r="F3" s="85" t="s">
        <v>65</v>
      </c>
      <c r="G3" s="85">
        <v>200</v>
      </c>
      <c r="H3" s="85" t="s">
        <v>28</v>
      </c>
      <c r="I3" s="85">
        <f>G3*E3</f>
        <v>3400</v>
      </c>
      <c r="J3" s="85" t="s">
        <v>28</v>
      </c>
      <c r="K3" s="94">
        <v>0.95</v>
      </c>
      <c r="L3" s="19">
        <f>K3*E3</f>
        <v>16.15</v>
      </c>
      <c r="M3" s="106">
        <f>AVERAGE(N5:R5,N8:R8)</f>
        <v>3.5583679999999993</v>
      </c>
      <c r="N3" s="151" t="s">
        <v>428</v>
      </c>
      <c r="O3" s="152" t="s">
        <v>417</v>
      </c>
      <c r="P3" s="152" t="s">
        <v>418</v>
      </c>
      <c r="Q3" s="152" t="s">
        <v>414</v>
      </c>
      <c r="R3" s="145" t="s">
        <v>419</v>
      </c>
    </row>
    <row r="4" spans="1:18" ht="15">
      <c r="A4" s="150"/>
      <c r="B4" s="156"/>
      <c r="C4" s="4" t="s">
        <v>60</v>
      </c>
      <c r="D4" s="84" t="s">
        <v>27</v>
      </c>
      <c r="E4" s="84">
        <v>13</v>
      </c>
      <c r="F4" s="84" t="s">
        <v>65</v>
      </c>
      <c r="G4" s="84">
        <v>200</v>
      </c>
      <c r="H4" s="84" t="s">
        <v>28</v>
      </c>
      <c r="I4" s="84">
        <f aca="true" t="shared" si="0" ref="I4:I67">G4*E4</f>
        <v>2600</v>
      </c>
      <c r="J4" s="84" t="s">
        <v>28</v>
      </c>
      <c r="K4" s="3">
        <v>1.55</v>
      </c>
      <c r="L4" s="20">
        <f aca="true" t="shared" si="1" ref="L4:L67">K4*E4</f>
        <v>20.150000000000002</v>
      </c>
      <c r="M4" s="117"/>
      <c r="N4" s="150"/>
      <c r="O4" s="144"/>
      <c r="P4" s="144"/>
      <c r="Q4" s="144"/>
      <c r="R4" s="146"/>
    </row>
    <row r="5" spans="1:18" ht="15.75" thickBot="1">
      <c r="A5" s="150"/>
      <c r="B5" s="156" t="s">
        <v>107</v>
      </c>
      <c r="C5" s="4" t="s">
        <v>142</v>
      </c>
      <c r="D5" s="84" t="s">
        <v>106</v>
      </c>
      <c r="E5" s="84">
        <v>26</v>
      </c>
      <c r="F5" s="84" t="s">
        <v>65</v>
      </c>
      <c r="G5" s="84">
        <v>50</v>
      </c>
      <c r="H5" s="84" t="s">
        <v>201</v>
      </c>
      <c r="I5" s="84">
        <f t="shared" si="0"/>
        <v>1300</v>
      </c>
      <c r="J5" s="84" t="s">
        <v>201</v>
      </c>
      <c r="K5" s="3">
        <f>(17.99/1000)*50</f>
        <v>0.8995</v>
      </c>
      <c r="L5" s="20">
        <f>K5*E5</f>
        <v>23.387</v>
      </c>
      <c r="M5" s="117"/>
      <c r="N5" s="103">
        <f>K3+K5+K5+K7+K7</f>
        <v>2.8449599999999995</v>
      </c>
      <c r="O5" s="95">
        <f>K3+K6+K6+K7+K7</f>
        <v>3.0359599999999993</v>
      </c>
      <c r="P5" s="95">
        <f>K3+K6+K7+K8</f>
        <v>3.78298</v>
      </c>
      <c r="Q5" s="95">
        <f>K3+K5+K7+K6+K7</f>
        <v>2.94046</v>
      </c>
      <c r="R5" s="23">
        <f>K3+K5+K7+K8</f>
        <v>3.68748</v>
      </c>
    </row>
    <row r="6" spans="1:18" ht="15">
      <c r="A6" s="150"/>
      <c r="B6" s="156"/>
      <c r="C6" s="4" t="s">
        <v>9</v>
      </c>
      <c r="D6" s="84" t="s">
        <v>106</v>
      </c>
      <c r="E6" s="84">
        <v>25</v>
      </c>
      <c r="F6" s="84" t="s">
        <v>65</v>
      </c>
      <c r="G6" s="84">
        <v>50</v>
      </c>
      <c r="H6" s="84" t="s">
        <v>201</v>
      </c>
      <c r="I6" s="84">
        <f t="shared" si="0"/>
        <v>1250</v>
      </c>
      <c r="J6" s="84" t="s">
        <v>201</v>
      </c>
      <c r="K6" s="3">
        <f>(9.95/500)*50</f>
        <v>0.9949999999999999</v>
      </c>
      <c r="L6" s="20">
        <f t="shared" si="1"/>
        <v>24.874999999999996</v>
      </c>
      <c r="M6" s="117"/>
      <c r="N6" s="149" t="s">
        <v>416</v>
      </c>
      <c r="O6" s="147" t="s">
        <v>415</v>
      </c>
      <c r="P6" s="147" t="s">
        <v>420</v>
      </c>
      <c r="Q6" s="147" t="s">
        <v>421</v>
      </c>
      <c r="R6" s="148" t="s">
        <v>422</v>
      </c>
    </row>
    <row r="7" spans="1:18" ht="15">
      <c r="A7" s="150"/>
      <c r="B7" s="156"/>
      <c r="C7" s="4" t="s">
        <v>29</v>
      </c>
      <c r="D7" s="84" t="s">
        <v>66</v>
      </c>
      <c r="E7" s="84">
        <f>(E5+E6)</f>
        <v>51</v>
      </c>
      <c r="F7" s="84" t="s">
        <v>66</v>
      </c>
      <c r="G7" s="84">
        <v>10</v>
      </c>
      <c r="H7" s="84" t="s">
        <v>201</v>
      </c>
      <c r="I7" s="84">
        <f t="shared" si="0"/>
        <v>510</v>
      </c>
      <c r="J7" s="84" t="s">
        <v>201</v>
      </c>
      <c r="K7" s="3">
        <v>0.047979999999999995</v>
      </c>
      <c r="L7" s="20">
        <f t="shared" si="1"/>
        <v>2.44698</v>
      </c>
      <c r="M7" s="117"/>
      <c r="N7" s="150"/>
      <c r="O7" s="144"/>
      <c r="P7" s="144"/>
      <c r="Q7" s="144"/>
      <c r="R7" s="146"/>
    </row>
    <row r="8" spans="1:18" ht="15.75" thickBot="1">
      <c r="A8" s="155"/>
      <c r="B8" s="21" t="s">
        <v>10</v>
      </c>
      <c r="C8" s="22" t="s">
        <v>10</v>
      </c>
      <c r="D8" s="21" t="s">
        <v>202</v>
      </c>
      <c r="E8" s="21">
        <v>9</v>
      </c>
      <c r="F8" s="21" t="s">
        <v>65</v>
      </c>
      <c r="G8" s="21">
        <v>35</v>
      </c>
      <c r="H8" s="21" t="s">
        <v>201</v>
      </c>
      <c r="I8" s="21">
        <f t="shared" si="0"/>
        <v>315</v>
      </c>
      <c r="J8" s="21" t="s">
        <v>201</v>
      </c>
      <c r="K8" s="95">
        <v>1.79</v>
      </c>
      <c r="L8" s="23">
        <f t="shared" si="1"/>
        <v>16.11</v>
      </c>
      <c r="M8" s="118"/>
      <c r="N8" s="103">
        <f>K4+K5+K5+K7+K7</f>
        <v>3.44496</v>
      </c>
      <c r="O8" s="95">
        <f>K4+K6+K6+K7+K7</f>
        <v>3.63596</v>
      </c>
      <c r="P8" s="95">
        <f>K4+K8+K6+K7</f>
        <v>4.38298</v>
      </c>
      <c r="Q8" s="95">
        <f>K4+K5+K7+K6+K7</f>
        <v>3.5404599999999995</v>
      </c>
      <c r="R8" s="23">
        <f>K4+K8+K5+K7</f>
        <v>4.2874799999999995</v>
      </c>
    </row>
    <row r="9" spans="1:13" ht="15.75" thickBot="1">
      <c r="A9" s="149" t="s">
        <v>61</v>
      </c>
      <c r="B9" s="160" t="s">
        <v>75</v>
      </c>
      <c r="C9" s="18" t="s">
        <v>13</v>
      </c>
      <c r="D9" s="90" t="s">
        <v>67</v>
      </c>
      <c r="E9" s="90">
        <v>60</v>
      </c>
      <c r="F9" s="90" t="s">
        <v>70</v>
      </c>
      <c r="G9" s="90">
        <v>200</v>
      </c>
      <c r="H9" s="90" t="s">
        <v>201</v>
      </c>
      <c r="I9" s="90">
        <f t="shared" si="0"/>
        <v>12000</v>
      </c>
      <c r="J9" s="90" t="s">
        <v>201</v>
      </c>
      <c r="K9" s="94">
        <f>(18.9/5000)*200</f>
        <v>0.7559999999999999</v>
      </c>
      <c r="L9" s="19">
        <f t="shared" si="1"/>
        <v>45.35999999999999</v>
      </c>
      <c r="M9" s="107">
        <f>L9/60</f>
        <v>0.7559999999999999</v>
      </c>
    </row>
    <row r="10" spans="1:13" ht="15">
      <c r="A10" s="150"/>
      <c r="B10" s="156"/>
      <c r="C10" s="4" t="s">
        <v>140</v>
      </c>
      <c r="D10" s="89" t="s">
        <v>68</v>
      </c>
      <c r="E10" s="89">
        <v>30</v>
      </c>
      <c r="F10" s="89" t="s">
        <v>70</v>
      </c>
      <c r="G10" s="89">
        <v>150</v>
      </c>
      <c r="H10" s="89" t="s">
        <v>201</v>
      </c>
      <c r="I10" s="89">
        <f t="shared" si="0"/>
        <v>4500</v>
      </c>
      <c r="J10" s="89" t="s">
        <v>201</v>
      </c>
      <c r="K10" s="3">
        <f>(4.99/1000)*150</f>
        <v>0.7485</v>
      </c>
      <c r="L10" s="20">
        <f t="shared" si="1"/>
        <v>22.455000000000002</v>
      </c>
      <c r="M10" s="104" t="s">
        <v>411</v>
      </c>
    </row>
    <row r="11" spans="1:16" ht="15.75" thickBot="1">
      <c r="A11" s="150"/>
      <c r="B11" s="156"/>
      <c r="C11" s="4" t="s">
        <v>163</v>
      </c>
      <c r="D11" s="89" t="s">
        <v>68</v>
      </c>
      <c r="E11" s="89">
        <v>30</v>
      </c>
      <c r="F11" s="89" t="s">
        <v>70</v>
      </c>
      <c r="G11" s="89">
        <v>150</v>
      </c>
      <c r="H11" s="89" t="s">
        <v>201</v>
      </c>
      <c r="I11" s="89">
        <f t="shared" si="0"/>
        <v>4500</v>
      </c>
      <c r="J11" s="89" t="s">
        <v>201</v>
      </c>
      <c r="K11" s="3">
        <f>(6.59/1000)*150</f>
        <v>0.9884999999999999</v>
      </c>
      <c r="L11" s="20">
        <f t="shared" si="1"/>
        <v>29.654999999999998</v>
      </c>
      <c r="M11" s="108">
        <f>AVERAGE(L10:L11)/60</f>
        <v>0.43424999999999997</v>
      </c>
      <c r="O11" s="2"/>
      <c r="P11" s="2"/>
    </row>
    <row r="12" spans="1:15" ht="15.75" thickBot="1">
      <c r="A12" s="150"/>
      <c r="B12" s="156" t="s">
        <v>164</v>
      </c>
      <c r="C12" s="4" t="s">
        <v>165</v>
      </c>
      <c r="D12" s="89" t="s">
        <v>68</v>
      </c>
      <c r="E12" s="89">
        <v>2</v>
      </c>
      <c r="F12" s="89" t="s">
        <v>70</v>
      </c>
      <c r="G12" s="89">
        <v>150</v>
      </c>
      <c r="H12" s="89" t="s">
        <v>201</v>
      </c>
      <c r="I12" s="89">
        <f t="shared" si="0"/>
        <v>300</v>
      </c>
      <c r="J12" s="89" t="s">
        <v>201</v>
      </c>
      <c r="K12" s="3">
        <f>(22/1000)*150</f>
        <v>3.3</v>
      </c>
      <c r="L12" s="20">
        <f t="shared" si="1"/>
        <v>6.6</v>
      </c>
      <c r="O12" s="2"/>
    </row>
    <row r="13" spans="1:13" ht="15">
      <c r="A13" s="150"/>
      <c r="B13" s="156"/>
      <c r="C13" s="4" t="s">
        <v>166</v>
      </c>
      <c r="D13" s="89" t="s">
        <v>68</v>
      </c>
      <c r="E13" s="89">
        <v>2</v>
      </c>
      <c r="F13" s="89" t="s">
        <v>70</v>
      </c>
      <c r="G13" s="89">
        <v>150</v>
      </c>
      <c r="H13" s="89" t="s">
        <v>201</v>
      </c>
      <c r="I13" s="89">
        <f t="shared" si="0"/>
        <v>300</v>
      </c>
      <c r="J13" s="89" t="s">
        <v>201</v>
      </c>
      <c r="K13" s="3">
        <f>(21.5/1000)*150</f>
        <v>3.2249999999999996</v>
      </c>
      <c r="L13" s="20">
        <f t="shared" si="1"/>
        <v>6.449999999999999</v>
      </c>
      <c r="M13" s="105" t="s">
        <v>423</v>
      </c>
    </row>
    <row r="14" spans="1:13" ht="15.75" thickBot="1">
      <c r="A14" s="150"/>
      <c r="B14" s="156"/>
      <c r="C14" s="4" t="s">
        <v>185</v>
      </c>
      <c r="D14" s="89" t="s">
        <v>68</v>
      </c>
      <c r="E14" s="89">
        <v>2</v>
      </c>
      <c r="F14" s="89" t="s">
        <v>70</v>
      </c>
      <c r="G14" s="89">
        <v>150</v>
      </c>
      <c r="H14" s="89" t="s">
        <v>201</v>
      </c>
      <c r="I14" s="89">
        <f aca="true" t="shared" si="2" ref="I14:I20">G14*E14</f>
        <v>300</v>
      </c>
      <c r="J14" s="89" t="s">
        <v>201</v>
      </c>
      <c r="K14" s="3">
        <f>(19.2/1000)*150</f>
        <v>2.88</v>
      </c>
      <c r="L14" s="20">
        <f t="shared" si="1"/>
        <v>5.76</v>
      </c>
      <c r="M14" s="106">
        <f>SUM(L12:L37)/60</f>
        <v>3.2943218571428563</v>
      </c>
    </row>
    <row r="15" spans="1:12" ht="15">
      <c r="A15" s="150"/>
      <c r="B15" s="156"/>
      <c r="C15" s="4" t="s">
        <v>167</v>
      </c>
      <c r="D15" s="89" t="s">
        <v>68</v>
      </c>
      <c r="E15" s="89">
        <v>2</v>
      </c>
      <c r="F15" s="89" t="s">
        <v>70</v>
      </c>
      <c r="G15" s="89">
        <v>150</v>
      </c>
      <c r="H15" s="89" t="s">
        <v>201</v>
      </c>
      <c r="I15" s="89">
        <f t="shared" si="2"/>
        <v>300</v>
      </c>
      <c r="J15" s="89" t="s">
        <v>201</v>
      </c>
      <c r="K15" s="3">
        <f>(29.99/1000)*150</f>
        <v>4.4985</v>
      </c>
      <c r="L15" s="20">
        <f t="shared" si="1"/>
        <v>8.997</v>
      </c>
    </row>
    <row r="16" spans="1:12" ht="15.75" thickBot="1">
      <c r="A16" s="150"/>
      <c r="B16" s="156"/>
      <c r="C16" s="4" t="s">
        <v>168</v>
      </c>
      <c r="D16" s="89" t="s">
        <v>68</v>
      </c>
      <c r="E16" s="89">
        <v>2</v>
      </c>
      <c r="F16" s="89" t="s">
        <v>70</v>
      </c>
      <c r="G16" s="89">
        <v>150</v>
      </c>
      <c r="H16" s="89" t="s">
        <v>201</v>
      </c>
      <c r="I16" s="89">
        <f t="shared" si="2"/>
        <v>300</v>
      </c>
      <c r="J16" s="89" t="s">
        <v>201</v>
      </c>
      <c r="K16" s="3">
        <f>(31.9/1000)*150</f>
        <v>4.784999999999999</v>
      </c>
      <c r="L16" s="20">
        <f t="shared" si="1"/>
        <v>9.569999999999999</v>
      </c>
    </row>
    <row r="17" spans="1:14" ht="15">
      <c r="A17" s="150"/>
      <c r="B17" s="156"/>
      <c r="C17" s="4" t="s">
        <v>169</v>
      </c>
      <c r="D17" s="89" t="s">
        <v>68</v>
      </c>
      <c r="E17" s="89">
        <v>2</v>
      </c>
      <c r="F17" s="89" t="s">
        <v>70</v>
      </c>
      <c r="G17" s="89">
        <v>150</v>
      </c>
      <c r="H17" s="89" t="s">
        <v>201</v>
      </c>
      <c r="I17" s="89">
        <f t="shared" si="2"/>
        <v>300</v>
      </c>
      <c r="J17" s="89" t="s">
        <v>201</v>
      </c>
      <c r="K17" s="3">
        <f>(31.9/1000)*150</f>
        <v>4.784999999999999</v>
      </c>
      <c r="L17" s="20">
        <f t="shared" si="1"/>
        <v>9.569999999999999</v>
      </c>
      <c r="N17" s="105" t="s">
        <v>426</v>
      </c>
    </row>
    <row r="18" spans="1:14" ht="15.75" thickBot="1">
      <c r="A18" s="150"/>
      <c r="B18" s="156"/>
      <c r="C18" s="4" t="s">
        <v>170</v>
      </c>
      <c r="D18" s="89" t="s">
        <v>68</v>
      </c>
      <c r="E18" s="89">
        <v>1</v>
      </c>
      <c r="F18" s="89" t="s">
        <v>70</v>
      </c>
      <c r="G18" s="89">
        <v>150</v>
      </c>
      <c r="H18" s="89" t="s">
        <v>201</v>
      </c>
      <c r="I18" s="89">
        <f t="shared" si="2"/>
        <v>150</v>
      </c>
      <c r="J18" s="89" t="s">
        <v>201</v>
      </c>
      <c r="K18" s="3">
        <f>(40.69/1000)*150</f>
        <v>6.1034999999999995</v>
      </c>
      <c r="L18" s="20">
        <f t="shared" si="1"/>
        <v>6.1034999999999995</v>
      </c>
      <c r="N18" s="106">
        <f>SUM(M9,M11,M14,M43,K57,M59)</f>
        <v>5.8573558809523805</v>
      </c>
    </row>
    <row r="19" spans="1:12" ht="15.75" thickBot="1">
      <c r="A19" s="150"/>
      <c r="B19" s="156"/>
      <c r="C19" s="4" t="s">
        <v>171</v>
      </c>
      <c r="D19" s="89" t="s">
        <v>68</v>
      </c>
      <c r="E19" s="89">
        <v>2</v>
      </c>
      <c r="F19" s="89" t="s">
        <v>70</v>
      </c>
      <c r="G19" s="89">
        <v>150</v>
      </c>
      <c r="H19" s="89" t="s">
        <v>201</v>
      </c>
      <c r="I19" s="89">
        <f t="shared" si="2"/>
        <v>300</v>
      </c>
      <c r="J19" s="89" t="s">
        <v>201</v>
      </c>
      <c r="K19" s="3">
        <f>(33.89/1000)*150</f>
        <v>5.083500000000001</v>
      </c>
      <c r="L19" s="20">
        <f t="shared" si="1"/>
        <v>10.167000000000002</v>
      </c>
    </row>
    <row r="20" spans="1:14" ht="15">
      <c r="A20" s="150"/>
      <c r="B20" s="156"/>
      <c r="C20" s="4" t="s">
        <v>172</v>
      </c>
      <c r="D20" s="89" t="s">
        <v>68</v>
      </c>
      <c r="E20" s="89">
        <v>2</v>
      </c>
      <c r="F20" s="89" t="s">
        <v>70</v>
      </c>
      <c r="G20" s="89">
        <v>150</v>
      </c>
      <c r="H20" s="89" t="s">
        <v>201</v>
      </c>
      <c r="I20" s="89">
        <f t="shared" si="2"/>
        <v>300</v>
      </c>
      <c r="J20" s="89" t="s">
        <v>201</v>
      </c>
      <c r="K20" s="3">
        <f>(28.99/1000)*150</f>
        <v>4.3485</v>
      </c>
      <c r="L20" s="20">
        <f t="shared" si="1"/>
        <v>8.697</v>
      </c>
      <c r="N20" s="105" t="s">
        <v>425</v>
      </c>
    </row>
    <row r="21" spans="1:14" ht="15.75" thickBot="1">
      <c r="A21" s="150"/>
      <c r="B21" s="156" t="s">
        <v>173</v>
      </c>
      <c r="C21" s="4" t="s">
        <v>174</v>
      </c>
      <c r="D21" s="89" t="s">
        <v>68</v>
      </c>
      <c r="E21" s="89">
        <v>3</v>
      </c>
      <c r="F21" s="89" t="s">
        <v>70</v>
      </c>
      <c r="G21" s="89">
        <v>150</v>
      </c>
      <c r="H21" s="89" t="s">
        <v>201</v>
      </c>
      <c r="I21" s="89">
        <f t="shared" si="0"/>
        <v>450</v>
      </c>
      <c r="J21" s="89" t="s">
        <v>201</v>
      </c>
      <c r="K21" s="3">
        <f>(8.49/1000)*150</f>
        <v>1.2735</v>
      </c>
      <c r="L21" s="20">
        <f t="shared" si="1"/>
        <v>3.8205</v>
      </c>
      <c r="N21" s="106">
        <f>SUM(M9,M11,M14,M43,K57)</f>
        <v>5.55128138095238</v>
      </c>
    </row>
    <row r="22" spans="1:12" ht="15">
      <c r="A22" s="150"/>
      <c r="B22" s="156"/>
      <c r="C22" s="4" t="s">
        <v>175</v>
      </c>
      <c r="D22" s="89" t="s">
        <v>68</v>
      </c>
      <c r="E22" s="89">
        <v>2</v>
      </c>
      <c r="F22" s="89" t="s">
        <v>70</v>
      </c>
      <c r="G22" s="89">
        <v>150</v>
      </c>
      <c r="H22" s="89" t="s">
        <v>201</v>
      </c>
      <c r="I22" s="89">
        <f aca="true" t="shared" si="3" ref="I22:I37">G22*E22</f>
        <v>300</v>
      </c>
      <c r="J22" s="89" t="s">
        <v>201</v>
      </c>
      <c r="K22" s="3">
        <f>(10.95/1000)*150</f>
        <v>1.6424999999999998</v>
      </c>
      <c r="L22" s="20">
        <f t="shared" si="1"/>
        <v>3.2849999999999997</v>
      </c>
    </row>
    <row r="23" spans="1:14" ht="15">
      <c r="A23" s="150"/>
      <c r="B23" s="156"/>
      <c r="C23" s="4" t="s">
        <v>176</v>
      </c>
      <c r="D23" s="89" t="s">
        <v>68</v>
      </c>
      <c r="E23" s="89">
        <v>1</v>
      </c>
      <c r="F23" s="89" t="s">
        <v>70</v>
      </c>
      <c r="G23" s="89">
        <v>150</v>
      </c>
      <c r="H23" s="89" t="s">
        <v>201</v>
      </c>
      <c r="I23" s="89">
        <f t="shared" si="3"/>
        <v>150</v>
      </c>
      <c r="J23" s="89" t="s">
        <v>201</v>
      </c>
      <c r="K23" s="3">
        <f>(12.49/1000)*150</f>
        <v>1.8735</v>
      </c>
      <c r="L23" s="20">
        <f t="shared" si="1"/>
        <v>1.8735</v>
      </c>
      <c r="N23" s="2"/>
    </row>
    <row r="24" spans="1:12" ht="15">
      <c r="A24" s="150"/>
      <c r="B24" s="156"/>
      <c r="C24" s="4" t="s">
        <v>177</v>
      </c>
      <c r="D24" s="89" t="s">
        <v>68</v>
      </c>
      <c r="E24" s="89">
        <v>2</v>
      </c>
      <c r="F24" s="89" t="s">
        <v>70</v>
      </c>
      <c r="G24" s="89">
        <v>150</v>
      </c>
      <c r="H24" s="89" t="s">
        <v>201</v>
      </c>
      <c r="I24" s="89">
        <f t="shared" si="3"/>
        <v>300</v>
      </c>
      <c r="J24" s="89" t="s">
        <v>201</v>
      </c>
      <c r="K24" s="3">
        <f>(11.25/1000)*150</f>
        <v>1.6875</v>
      </c>
      <c r="L24" s="20">
        <f t="shared" si="1"/>
        <v>3.375</v>
      </c>
    </row>
    <row r="25" spans="1:12" ht="15">
      <c r="A25" s="150"/>
      <c r="B25" s="156"/>
      <c r="C25" s="4" t="s">
        <v>178</v>
      </c>
      <c r="D25" s="89" t="s">
        <v>68</v>
      </c>
      <c r="E25" s="89">
        <v>3</v>
      </c>
      <c r="F25" s="89" t="s">
        <v>70</v>
      </c>
      <c r="G25" s="89">
        <v>150</v>
      </c>
      <c r="H25" s="89" t="s">
        <v>201</v>
      </c>
      <c r="I25" s="89">
        <f t="shared" si="3"/>
        <v>450</v>
      </c>
      <c r="J25" s="89" t="s">
        <v>201</v>
      </c>
      <c r="K25" s="3">
        <f>(13.49/1000)*150</f>
        <v>2.0235</v>
      </c>
      <c r="L25" s="20">
        <f t="shared" si="1"/>
        <v>6.070499999999999</v>
      </c>
    </row>
    <row r="26" spans="1:12" ht="15">
      <c r="A26" s="150"/>
      <c r="B26" s="156"/>
      <c r="C26" s="4" t="s">
        <v>144</v>
      </c>
      <c r="D26" s="89" t="s">
        <v>68</v>
      </c>
      <c r="E26" s="89">
        <v>3</v>
      </c>
      <c r="F26" s="89" t="s">
        <v>70</v>
      </c>
      <c r="G26" s="89">
        <v>150</v>
      </c>
      <c r="H26" s="89" t="s">
        <v>201</v>
      </c>
      <c r="I26" s="89">
        <f t="shared" si="3"/>
        <v>450</v>
      </c>
      <c r="J26" s="89" t="s">
        <v>201</v>
      </c>
      <c r="K26" s="3">
        <f>(78.45/5000)*150</f>
        <v>2.3535</v>
      </c>
      <c r="L26" s="20">
        <f t="shared" si="1"/>
        <v>7.060499999999999</v>
      </c>
    </row>
    <row r="27" spans="1:12" ht="15">
      <c r="A27" s="150"/>
      <c r="B27" s="156"/>
      <c r="C27" s="4" t="s">
        <v>179</v>
      </c>
      <c r="D27" s="89" t="s">
        <v>68</v>
      </c>
      <c r="E27" s="89">
        <v>3</v>
      </c>
      <c r="F27" s="89" t="s">
        <v>70</v>
      </c>
      <c r="G27" s="89">
        <v>150</v>
      </c>
      <c r="H27" s="89" t="s">
        <v>201</v>
      </c>
      <c r="I27" s="89">
        <f t="shared" si="3"/>
        <v>450</v>
      </c>
      <c r="J27" s="89" t="s">
        <v>201</v>
      </c>
      <c r="K27" s="3">
        <f>1.59*1.5</f>
        <v>2.3850000000000002</v>
      </c>
      <c r="L27" s="20">
        <f t="shared" si="1"/>
        <v>7.155000000000001</v>
      </c>
    </row>
    <row r="28" spans="1:12" ht="30">
      <c r="A28" s="150"/>
      <c r="B28" s="156" t="s">
        <v>14</v>
      </c>
      <c r="C28" s="4" t="s">
        <v>180</v>
      </c>
      <c r="D28" s="89" t="s">
        <v>68</v>
      </c>
      <c r="E28" s="89">
        <v>4</v>
      </c>
      <c r="F28" s="89" t="s">
        <v>70</v>
      </c>
      <c r="G28" s="89">
        <v>150</v>
      </c>
      <c r="H28" s="89" t="s">
        <v>201</v>
      </c>
      <c r="I28" s="89">
        <f t="shared" si="3"/>
        <v>600</v>
      </c>
      <c r="J28" s="89" t="s">
        <v>201</v>
      </c>
      <c r="K28" s="3">
        <f>(30.59/600)*150</f>
        <v>7.6475</v>
      </c>
      <c r="L28" s="20">
        <f t="shared" si="1"/>
        <v>30.59</v>
      </c>
    </row>
    <row r="29" spans="1:14" ht="15">
      <c r="A29" s="150"/>
      <c r="B29" s="156"/>
      <c r="C29" s="4" t="s">
        <v>181</v>
      </c>
      <c r="D29" s="89" t="s">
        <v>68</v>
      </c>
      <c r="E29" s="89">
        <v>2</v>
      </c>
      <c r="F29" s="89" t="s">
        <v>70</v>
      </c>
      <c r="G29" s="89">
        <v>150</v>
      </c>
      <c r="H29" s="89" t="s">
        <v>201</v>
      </c>
      <c r="I29" s="89">
        <f t="shared" si="3"/>
        <v>300</v>
      </c>
      <c r="J29" s="89" t="s">
        <v>201</v>
      </c>
      <c r="K29" s="3">
        <f>(69.9/5000)*150</f>
        <v>2.097</v>
      </c>
      <c r="L29" s="20">
        <f t="shared" si="1"/>
        <v>4.194</v>
      </c>
      <c r="N29" s="2"/>
    </row>
    <row r="30" spans="1:12" ht="15">
      <c r="A30" s="150"/>
      <c r="B30" s="156"/>
      <c r="C30" s="4" t="s">
        <v>143</v>
      </c>
      <c r="D30" s="89" t="s">
        <v>68</v>
      </c>
      <c r="E30" s="89">
        <v>2</v>
      </c>
      <c r="F30" s="89" t="s">
        <v>70</v>
      </c>
      <c r="G30" s="89">
        <v>150</v>
      </c>
      <c r="H30" s="89" t="s">
        <v>201</v>
      </c>
      <c r="I30" s="89">
        <f t="shared" si="3"/>
        <v>300</v>
      </c>
      <c r="J30" s="89" t="s">
        <v>201</v>
      </c>
      <c r="K30" s="3">
        <f>(44.9/2000)*150</f>
        <v>3.3674999999999997</v>
      </c>
      <c r="L30" s="20">
        <f t="shared" si="1"/>
        <v>6.734999999999999</v>
      </c>
    </row>
    <row r="31" spans="1:12" ht="15">
      <c r="A31" s="150"/>
      <c r="B31" s="156"/>
      <c r="C31" s="4" t="s">
        <v>203</v>
      </c>
      <c r="D31" s="89" t="s">
        <v>68</v>
      </c>
      <c r="E31" s="89">
        <v>4</v>
      </c>
      <c r="F31" s="89" t="s">
        <v>70</v>
      </c>
      <c r="G31" s="89">
        <v>150</v>
      </c>
      <c r="H31" s="89" t="s">
        <v>201</v>
      </c>
      <c r="I31" s="89">
        <f t="shared" si="3"/>
        <v>600</v>
      </c>
      <c r="J31" s="89" t="s">
        <v>201</v>
      </c>
      <c r="K31" s="3">
        <f>(19.59/1000)*150</f>
        <v>2.9385</v>
      </c>
      <c r="L31" s="20">
        <f t="shared" si="1"/>
        <v>11.754</v>
      </c>
    </row>
    <row r="32" spans="1:12" ht="15">
      <c r="A32" s="150"/>
      <c r="B32" s="156"/>
      <c r="C32" s="4" t="s">
        <v>183</v>
      </c>
      <c r="D32" s="89" t="s">
        <v>68</v>
      </c>
      <c r="E32" s="89">
        <v>2</v>
      </c>
      <c r="F32" s="89" t="s">
        <v>70</v>
      </c>
      <c r="G32" s="89">
        <v>150</v>
      </c>
      <c r="H32" s="89" t="s">
        <v>201</v>
      </c>
      <c r="I32" s="89">
        <f t="shared" si="3"/>
        <v>300</v>
      </c>
      <c r="J32" s="89" t="s">
        <v>201</v>
      </c>
      <c r="K32" s="3">
        <f>(19.6/1000)*150</f>
        <v>2.9400000000000004</v>
      </c>
      <c r="L32" s="20">
        <f t="shared" si="1"/>
        <v>5.880000000000001</v>
      </c>
    </row>
    <row r="33" spans="1:12" ht="15">
      <c r="A33" s="150"/>
      <c r="B33" s="156"/>
      <c r="C33" s="4" t="s">
        <v>184</v>
      </c>
      <c r="D33" s="89" t="s">
        <v>68</v>
      </c>
      <c r="E33" s="89">
        <v>2</v>
      </c>
      <c r="F33" s="89" t="s">
        <v>70</v>
      </c>
      <c r="G33" s="89">
        <v>150</v>
      </c>
      <c r="H33" s="89" t="s">
        <v>201</v>
      </c>
      <c r="I33" s="89">
        <f t="shared" si="3"/>
        <v>300</v>
      </c>
      <c r="J33" s="89" t="s">
        <v>201</v>
      </c>
      <c r="K33" s="3">
        <f>(18.9/1000)*150</f>
        <v>2.835</v>
      </c>
      <c r="L33" s="20">
        <f t="shared" si="1"/>
        <v>5.67</v>
      </c>
    </row>
    <row r="34" spans="1:12" ht="15">
      <c r="A34" s="150"/>
      <c r="B34" s="156"/>
      <c r="C34" s="4" t="s">
        <v>185</v>
      </c>
      <c r="D34" s="89" t="s">
        <v>68</v>
      </c>
      <c r="E34" s="89">
        <v>2</v>
      </c>
      <c r="F34" s="89" t="s">
        <v>70</v>
      </c>
      <c r="G34" s="89">
        <v>150</v>
      </c>
      <c r="H34" s="89" t="s">
        <v>201</v>
      </c>
      <c r="I34" s="89">
        <f t="shared" si="3"/>
        <v>300</v>
      </c>
      <c r="J34" s="89" t="s">
        <v>201</v>
      </c>
      <c r="K34" s="3">
        <f>(19.9/1000)*150</f>
        <v>2.9849999999999994</v>
      </c>
      <c r="L34" s="20">
        <f t="shared" si="1"/>
        <v>5.969999999999999</v>
      </c>
    </row>
    <row r="35" spans="1:12" ht="15">
      <c r="A35" s="150"/>
      <c r="B35" s="89" t="s">
        <v>186</v>
      </c>
      <c r="C35" s="4" t="s">
        <v>16</v>
      </c>
      <c r="D35" s="89" t="s">
        <v>68</v>
      </c>
      <c r="E35" s="89">
        <v>4</v>
      </c>
      <c r="F35" s="89" t="s">
        <v>70</v>
      </c>
      <c r="G35" s="89">
        <v>150</v>
      </c>
      <c r="H35" s="89" t="s">
        <v>201</v>
      </c>
      <c r="I35" s="89">
        <f t="shared" si="3"/>
        <v>600</v>
      </c>
      <c r="J35" s="89" t="s">
        <v>201</v>
      </c>
      <c r="K35" s="3">
        <f>(17.99/20)*2.38</f>
        <v>2.1408099999999997</v>
      </c>
      <c r="L35" s="20">
        <f t="shared" si="1"/>
        <v>8.563239999999999</v>
      </c>
    </row>
    <row r="36" spans="1:12" ht="15">
      <c r="A36" s="150"/>
      <c r="B36" s="156" t="s">
        <v>15</v>
      </c>
      <c r="C36" s="4" t="s">
        <v>179</v>
      </c>
      <c r="D36" s="89" t="s">
        <v>68</v>
      </c>
      <c r="E36" s="89">
        <v>2</v>
      </c>
      <c r="F36" s="89" t="s">
        <v>70</v>
      </c>
      <c r="G36" s="89">
        <v>150</v>
      </c>
      <c r="H36" s="89" t="s">
        <v>201</v>
      </c>
      <c r="I36" s="89">
        <f t="shared" si="3"/>
        <v>300</v>
      </c>
      <c r="J36" s="89" t="s">
        <v>201</v>
      </c>
      <c r="K36" s="3">
        <f>2.59*1.5</f>
        <v>3.885</v>
      </c>
      <c r="L36" s="20">
        <f t="shared" si="1"/>
        <v>7.77</v>
      </c>
    </row>
    <row r="37" spans="1:14" ht="15">
      <c r="A37" s="150"/>
      <c r="B37" s="156"/>
      <c r="C37" s="4" t="s">
        <v>15</v>
      </c>
      <c r="D37" s="89" t="s">
        <v>68</v>
      </c>
      <c r="E37" s="89">
        <v>2</v>
      </c>
      <c r="F37" s="89" t="s">
        <v>70</v>
      </c>
      <c r="G37" s="89">
        <v>150</v>
      </c>
      <c r="H37" s="89" t="s">
        <v>201</v>
      </c>
      <c r="I37" s="89">
        <f t="shared" si="3"/>
        <v>300</v>
      </c>
      <c r="J37" s="89" t="s">
        <v>201</v>
      </c>
      <c r="K37" s="3">
        <f>(13.95/700)*150</f>
        <v>2.9892857142857143</v>
      </c>
      <c r="L37" s="20">
        <f t="shared" si="1"/>
        <v>5.978571428571429</v>
      </c>
      <c r="N37" s="2"/>
    </row>
    <row r="38" spans="1:12" ht="15">
      <c r="A38" s="150"/>
      <c r="B38" s="156" t="s">
        <v>76</v>
      </c>
      <c r="C38" s="4" t="s">
        <v>81</v>
      </c>
      <c r="D38" s="89" t="s">
        <v>69</v>
      </c>
      <c r="E38" s="89">
        <v>4</v>
      </c>
      <c r="F38" s="89" t="s">
        <v>70</v>
      </c>
      <c r="G38" s="89">
        <v>100</v>
      </c>
      <c r="H38" s="89" t="s">
        <v>201</v>
      </c>
      <c r="I38" s="89">
        <f t="shared" si="0"/>
        <v>400</v>
      </c>
      <c r="J38" s="89" t="s">
        <v>201</v>
      </c>
      <c r="K38" s="3">
        <f>(2.99/1000)*100</f>
        <v>0.299</v>
      </c>
      <c r="L38" s="20">
        <f t="shared" si="1"/>
        <v>1.196</v>
      </c>
    </row>
    <row r="39" spans="1:12" ht="15">
      <c r="A39" s="150"/>
      <c r="B39" s="156"/>
      <c r="C39" s="4" t="s">
        <v>17</v>
      </c>
      <c r="D39" s="89" t="s">
        <v>69</v>
      </c>
      <c r="E39" s="89">
        <v>4</v>
      </c>
      <c r="F39" s="89" t="s">
        <v>70</v>
      </c>
      <c r="G39" s="89">
        <v>100</v>
      </c>
      <c r="H39" s="89" t="s">
        <v>201</v>
      </c>
      <c r="I39" s="89">
        <f aca="true" t="shared" si="4" ref="I39:I46">G39*E39</f>
        <v>400</v>
      </c>
      <c r="J39" s="89" t="s">
        <v>201</v>
      </c>
      <c r="K39" s="3">
        <f>(1.99/1000)*100</f>
        <v>0.199</v>
      </c>
      <c r="L39" s="20">
        <f t="shared" si="1"/>
        <v>0.796</v>
      </c>
    </row>
    <row r="40" spans="1:12" ht="15">
      <c r="A40" s="150"/>
      <c r="B40" s="156"/>
      <c r="C40" s="4" t="s">
        <v>25</v>
      </c>
      <c r="D40" s="89" t="s">
        <v>69</v>
      </c>
      <c r="E40" s="89">
        <v>6</v>
      </c>
      <c r="F40" s="89" t="s">
        <v>70</v>
      </c>
      <c r="G40" s="89">
        <v>100</v>
      </c>
      <c r="H40" s="89" t="s">
        <v>201</v>
      </c>
      <c r="I40" s="89">
        <f t="shared" si="4"/>
        <v>600</v>
      </c>
      <c r="J40" s="89" t="s">
        <v>201</v>
      </c>
      <c r="K40" s="3">
        <f>(3.95/1000)*100</f>
        <v>0.395</v>
      </c>
      <c r="L40" s="20">
        <f t="shared" si="1"/>
        <v>2.37</v>
      </c>
    </row>
    <row r="41" spans="1:12" ht="15.75" thickBot="1">
      <c r="A41" s="150"/>
      <c r="B41" s="156"/>
      <c r="C41" s="4" t="s">
        <v>72</v>
      </c>
      <c r="D41" s="89" t="s">
        <v>69</v>
      </c>
      <c r="E41" s="89">
        <v>3</v>
      </c>
      <c r="F41" s="89" t="s">
        <v>70</v>
      </c>
      <c r="G41" s="89">
        <v>100</v>
      </c>
      <c r="H41" s="89" t="s">
        <v>201</v>
      </c>
      <c r="I41" s="89">
        <f t="shared" si="4"/>
        <v>300</v>
      </c>
      <c r="J41" s="89" t="s">
        <v>201</v>
      </c>
      <c r="K41" s="3">
        <f>(3.99/1000)*100</f>
        <v>0.399</v>
      </c>
      <c r="L41" s="20">
        <f t="shared" si="1"/>
        <v>1.197</v>
      </c>
    </row>
    <row r="42" spans="1:13" ht="15">
      <c r="A42" s="150"/>
      <c r="B42" s="156"/>
      <c r="C42" s="4" t="s">
        <v>22</v>
      </c>
      <c r="D42" s="89" t="s">
        <v>69</v>
      </c>
      <c r="E42" s="89">
        <v>2</v>
      </c>
      <c r="F42" s="89" t="s">
        <v>70</v>
      </c>
      <c r="G42" s="89">
        <v>100</v>
      </c>
      <c r="H42" s="89" t="s">
        <v>201</v>
      </c>
      <c r="I42" s="89">
        <f t="shared" si="4"/>
        <v>200</v>
      </c>
      <c r="J42" s="89" t="s">
        <v>201</v>
      </c>
      <c r="K42" s="3">
        <f>(3.99/1000)*100</f>
        <v>0.399</v>
      </c>
      <c r="L42" s="20">
        <f t="shared" si="1"/>
        <v>0.798</v>
      </c>
      <c r="M42" s="105" t="s">
        <v>205</v>
      </c>
    </row>
    <row r="43" spans="1:13" ht="15.75" thickBot="1">
      <c r="A43" s="150"/>
      <c r="B43" s="156"/>
      <c r="C43" s="4" t="s">
        <v>21</v>
      </c>
      <c r="D43" s="89" t="s">
        <v>69</v>
      </c>
      <c r="E43" s="89">
        <v>3</v>
      </c>
      <c r="F43" s="89" t="s">
        <v>70</v>
      </c>
      <c r="G43" s="89">
        <v>100</v>
      </c>
      <c r="H43" s="89" t="s">
        <v>201</v>
      </c>
      <c r="I43" s="89">
        <f t="shared" si="4"/>
        <v>300</v>
      </c>
      <c r="J43" s="89" t="s">
        <v>201</v>
      </c>
      <c r="K43" s="3">
        <f>(3.99/1000)*100</f>
        <v>0.399</v>
      </c>
      <c r="L43" s="20">
        <f t="shared" si="1"/>
        <v>1.197</v>
      </c>
      <c r="M43" s="106">
        <f>SUM(L38:L56)/60</f>
        <v>0.5667095238095237</v>
      </c>
    </row>
    <row r="44" spans="1:12" ht="15">
      <c r="A44" s="150"/>
      <c r="B44" s="156"/>
      <c r="C44" s="4" t="s">
        <v>204</v>
      </c>
      <c r="D44" s="89" t="s">
        <v>69</v>
      </c>
      <c r="E44" s="89">
        <v>3</v>
      </c>
      <c r="F44" s="89" t="s">
        <v>70</v>
      </c>
      <c r="G44" s="89">
        <v>100</v>
      </c>
      <c r="H44" s="89" t="s">
        <v>201</v>
      </c>
      <c r="I44" s="89">
        <f t="shared" si="4"/>
        <v>300</v>
      </c>
      <c r="J44" s="89" t="s">
        <v>201</v>
      </c>
      <c r="K44" s="3">
        <f>(5.99/1000)*100</f>
        <v>0.5990000000000001</v>
      </c>
      <c r="L44" s="20">
        <f t="shared" si="1"/>
        <v>1.7970000000000002</v>
      </c>
    </row>
    <row r="45" spans="1:12" ht="15">
      <c r="A45" s="150"/>
      <c r="B45" s="156"/>
      <c r="C45" s="4" t="s">
        <v>18</v>
      </c>
      <c r="D45" s="89" t="s">
        <v>69</v>
      </c>
      <c r="E45" s="89">
        <v>3</v>
      </c>
      <c r="F45" s="89" t="s">
        <v>70</v>
      </c>
      <c r="G45" s="89">
        <v>100</v>
      </c>
      <c r="H45" s="89" t="s">
        <v>201</v>
      </c>
      <c r="I45" s="89">
        <f t="shared" si="4"/>
        <v>300</v>
      </c>
      <c r="J45" s="89" t="s">
        <v>201</v>
      </c>
      <c r="K45" s="3">
        <f>(4.55/1000)*100</f>
        <v>0.455</v>
      </c>
      <c r="L45" s="20">
        <f t="shared" si="1"/>
        <v>1.365</v>
      </c>
    </row>
    <row r="46" spans="1:12" ht="15">
      <c r="A46" s="150"/>
      <c r="B46" s="156"/>
      <c r="C46" s="4" t="s">
        <v>19</v>
      </c>
      <c r="D46" s="89" t="s">
        <v>69</v>
      </c>
      <c r="E46" s="89">
        <v>3</v>
      </c>
      <c r="F46" s="89" t="s">
        <v>70</v>
      </c>
      <c r="G46" s="89">
        <v>100</v>
      </c>
      <c r="H46" s="89" t="s">
        <v>201</v>
      </c>
      <c r="I46" s="89">
        <f t="shared" si="4"/>
        <v>300</v>
      </c>
      <c r="J46" s="89" t="s">
        <v>201</v>
      </c>
      <c r="K46" s="3">
        <f>(3.89/1000)*100</f>
        <v>0.389</v>
      </c>
      <c r="L46" s="20">
        <f t="shared" si="1"/>
        <v>1.167</v>
      </c>
    </row>
    <row r="47" spans="1:13" ht="15">
      <c r="A47" s="150"/>
      <c r="B47" s="156"/>
      <c r="C47" s="4" t="s">
        <v>74</v>
      </c>
      <c r="D47" s="89" t="s">
        <v>69</v>
      </c>
      <c r="E47" s="89">
        <v>3</v>
      </c>
      <c r="F47" s="89" t="s">
        <v>70</v>
      </c>
      <c r="G47" s="89">
        <v>100</v>
      </c>
      <c r="H47" s="89" t="s">
        <v>201</v>
      </c>
      <c r="I47" s="89">
        <f t="shared" si="0"/>
        <v>300</v>
      </c>
      <c r="J47" s="89" t="s">
        <v>201</v>
      </c>
      <c r="K47" s="3">
        <v>0.6</v>
      </c>
      <c r="L47" s="20">
        <f t="shared" si="1"/>
        <v>1.7999999999999998</v>
      </c>
      <c r="M47" s="2"/>
    </row>
    <row r="48" spans="1:12" ht="15">
      <c r="A48" s="150"/>
      <c r="B48" s="156"/>
      <c r="C48" s="4" t="s">
        <v>23</v>
      </c>
      <c r="D48" s="89" t="s">
        <v>69</v>
      </c>
      <c r="E48" s="89">
        <v>4</v>
      </c>
      <c r="F48" s="89" t="s">
        <v>70</v>
      </c>
      <c r="G48" s="89">
        <v>100</v>
      </c>
      <c r="H48" s="89" t="s">
        <v>201</v>
      </c>
      <c r="I48" s="89">
        <f t="shared" si="0"/>
        <v>400</v>
      </c>
      <c r="J48" s="89" t="s">
        <v>201</v>
      </c>
      <c r="K48" s="3">
        <v>0.6</v>
      </c>
      <c r="L48" s="20">
        <f t="shared" si="1"/>
        <v>2.4</v>
      </c>
    </row>
    <row r="49" spans="1:12" ht="15">
      <c r="A49" s="150"/>
      <c r="B49" s="156"/>
      <c r="C49" s="4" t="s">
        <v>24</v>
      </c>
      <c r="D49" s="89" t="s">
        <v>69</v>
      </c>
      <c r="E49" s="89">
        <v>4</v>
      </c>
      <c r="F49" s="89" t="s">
        <v>70</v>
      </c>
      <c r="G49" s="89">
        <v>100</v>
      </c>
      <c r="H49" s="89" t="s">
        <v>201</v>
      </c>
      <c r="I49" s="89">
        <f t="shared" si="0"/>
        <v>400</v>
      </c>
      <c r="J49" s="89" t="s">
        <v>201</v>
      </c>
      <c r="K49" s="3">
        <v>0.6</v>
      </c>
      <c r="L49" s="20">
        <f t="shared" si="1"/>
        <v>2.4</v>
      </c>
    </row>
    <row r="50" spans="1:12" ht="15">
      <c r="A50" s="150"/>
      <c r="B50" s="156"/>
      <c r="C50" s="4" t="s">
        <v>26</v>
      </c>
      <c r="D50" s="89" t="s">
        <v>69</v>
      </c>
      <c r="E50" s="89">
        <v>4</v>
      </c>
      <c r="F50" s="89" t="s">
        <v>70</v>
      </c>
      <c r="G50" s="89">
        <v>100</v>
      </c>
      <c r="H50" s="89" t="s">
        <v>201</v>
      </c>
      <c r="I50" s="89">
        <f t="shared" si="0"/>
        <v>400</v>
      </c>
      <c r="J50" s="89" t="s">
        <v>201</v>
      </c>
      <c r="K50" s="3">
        <f>(4.25/1000)*100</f>
        <v>0.42500000000000004</v>
      </c>
      <c r="L50" s="20">
        <f t="shared" si="1"/>
        <v>1.7000000000000002</v>
      </c>
    </row>
    <row r="51" spans="1:12" ht="15">
      <c r="A51" s="150"/>
      <c r="B51" s="156"/>
      <c r="C51" s="4" t="s">
        <v>111</v>
      </c>
      <c r="D51" s="89" t="s">
        <v>69</v>
      </c>
      <c r="E51" s="89">
        <v>1</v>
      </c>
      <c r="F51" s="89" t="s">
        <v>70</v>
      </c>
      <c r="G51" s="89">
        <v>100</v>
      </c>
      <c r="H51" s="89" t="s">
        <v>201</v>
      </c>
      <c r="I51" s="89">
        <f t="shared" si="0"/>
        <v>100</v>
      </c>
      <c r="J51" s="89" t="s">
        <v>201</v>
      </c>
      <c r="K51" s="3">
        <f>(7.99/1000)*100</f>
        <v>0.799</v>
      </c>
      <c r="L51" s="20">
        <f t="shared" si="1"/>
        <v>0.799</v>
      </c>
    </row>
    <row r="52" spans="1:12" ht="15">
      <c r="A52" s="150"/>
      <c r="B52" s="156"/>
      <c r="C52" s="4" t="s">
        <v>71</v>
      </c>
      <c r="D52" s="89" t="s">
        <v>69</v>
      </c>
      <c r="E52" s="89">
        <v>3</v>
      </c>
      <c r="F52" s="89"/>
      <c r="G52" s="89">
        <v>100</v>
      </c>
      <c r="H52" s="89" t="s">
        <v>201</v>
      </c>
      <c r="I52" s="89">
        <f t="shared" si="0"/>
        <v>300</v>
      </c>
      <c r="J52" s="89" t="s">
        <v>201</v>
      </c>
      <c r="K52" s="3">
        <v>0.6</v>
      </c>
      <c r="L52" s="20">
        <f t="shared" si="1"/>
        <v>1.7999999999999998</v>
      </c>
    </row>
    <row r="53" spans="1:12" ht="15">
      <c r="A53" s="150"/>
      <c r="B53" s="156"/>
      <c r="C53" s="4" t="s">
        <v>79</v>
      </c>
      <c r="D53" s="89" t="s">
        <v>69</v>
      </c>
      <c r="E53" s="89">
        <v>2</v>
      </c>
      <c r="F53" s="89" t="s">
        <v>70</v>
      </c>
      <c r="G53" s="89">
        <v>100</v>
      </c>
      <c r="H53" s="89" t="s">
        <v>201</v>
      </c>
      <c r="I53" s="89">
        <f t="shared" si="0"/>
        <v>200</v>
      </c>
      <c r="J53" s="89" t="s">
        <v>201</v>
      </c>
      <c r="K53" s="3">
        <f>(5.99/250)*100</f>
        <v>2.3960000000000004</v>
      </c>
      <c r="L53" s="20">
        <f t="shared" si="1"/>
        <v>4.792000000000001</v>
      </c>
    </row>
    <row r="54" spans="1:12" ht="15">
      <c r="A54" s="150"/>
      <c r="B54" s="156"/>
      <c r="C54" s="4" t="s">
        <v>73</v>
      </c>
      <c r="D54" s="89" t="s">
        <v>69</v>
      </c>
      <c r="E54" s="89">
        <v>4</v>
      </c>
      <c r="F54" s="89" t="s">
        <v>70</v>
      </c>
      <c r="G54" s="89">
        <v>100</v>
      </c>
      <c r="H54" s="89" t="s">
        <v>201</v>
      </c>
      <c r="I54" s="89">
        <f t="shared" si="0"/>
        <v>400</v>
      </c>
      <c r="J54" s="89" t="s">
        <v>201</v>
      </c>
      <c r="K54" s="3">
        <v>0.6</v>
      </c>
      <c r="L54" s="20">
        <f t="shared" si="1"/>
        <v>2.4</v>
      </c>
    </row>
    <row r="55" spans="1:12" ht="15">
      <c r="A55" s="150"/>
      <c r="B55" s="156"/>
      <c r="C55" s="4" t="s">
        <v>80</v>
      </c>
      <c r="D55" s="89" t="s">
        <v>69</v>
      </c>
      <c r="E55" s="89">
        <v>2</v>
      </c>
      <c r="F55" s="89" t="s">
        <v>70</v>
      </c>
      <c r="G55" s="89">
        <v>100</v>
      </c>
      <c r="H55" s="89" t="s">
        <v>201</v>
      </c>
      <c r="I55" s="89">
        <f t="shared" si="0"/>
        <v>200</v>
      </c>
      <c r="J55" s="89" t="s">
        <v>201</v>
      </c>
      <c r="K55" s="3">
        <v>0.6</v>
      </c>
      <c r="L55" s="20">
        <f t="shared" si="1"/>
        <v>1.2</v>
      </c>
    </row>
    <row r="56" spans="1:12" ht="15">
      <c r="A56" s="150"/>
      <c r="B56" s="156"/>
      <c r="C56" s="4" t="s">
        <v>20</v>
      </c>
      <c r="D56" s="89" t="s">
        <v>69</v>
      </c>
      <c r="E56" s="89">
        <v>2</v>
      </c>
      <c r="F56" s="89" t="s">
        <v>70</v>
      </c>
      <c r="G56" s="89">
        <v>100</v>
      </c>
      <c r="H56" s="89" t="s">
        <v>201</v>
      </c>
      <c r="I56" s="89">
        <f t="shared" si="0"/>
        <v>200</v>
      </c>
      <c r="J56" s="89" t="s">
        <v>201</v>
      </c>
      <c r="K56" s="3">
        <f>(4.95/350)*100</f>
        <v>1.4142857142857144</v>
      </c>
      <c r="L56" s="3">
        <f t="shared" si="1"/>
        <v>2.8285714285714287</v>
      </c>
    </row>
    <row r="57" spans="1:12" ht="15">
      <c r="A57" s="150"/>
      <c r="B57" s="98" t="s">
        <v>412</v>
      </c>
      <c r="C57" s="4" t="s">
        <v>424</v>
      </c>
      <c r="D57" s="98" t="s">
        <v>366</v>
      </c>
      <c r="E57" s="98">
        <v>60</v>
      </c>
      <c r="F57" s="98" t="s">
        <v>70</v>
      </c>
      <c r="G57" s="98" t="s">
        <v>366</v>
      </c>
      <c r="H57" s="98" t="s">
        <v>366</v>
      </c>
      <c r="I57" s="98" t="s">
        <v>366</v>
      </c>
      <c r="J57" s="98" t="s">
        <v>366</v>
      </c>
      <c r="K57" s="3">
        <v>0.5</v>
      </c>
      <c r="L57" s="3">
        <f t="shared" si="1"/>
        <v>30</v>
      </c>
    </row>
    <row r="58" spans="1:13" ht="15">
      <c r="A58" s="150"/>
      <c r="B58" s="156" t="s">
        <v>62</v>
      </c>
      <c r="C58" s="4" t="s">
        <v>119</v>
      </c>
      <c r="D58" s="89" t="s">
        <v>118</v>
      </c>
      <c r="E58" s="89">
        <v>1</v>
      </c>
      <c r="F58" s="89" t="s">
        <v>70</v>
      </c>
      <c r="G58" s="89">
        <v>100</v>
      </c>
      <c r="H58" s="89" t="s">
        <v>201</v>
      </c>
      <c r="I58" s="89">
        <f t="shared" si="0"/>
        <v>100</v>
      </c>
      <c r="J58" s="89" t="s">
        <v>201</v>
      </c>
      <c r="K58" s="3">
        <f>3.39/2</f>
        <v>1.695</v>
      </c>
      <c r="L58" s="109">
        <f t="shared" si="1"/>
        <v>1.695</v>
      </c>
      <c r="M58" s="101" t="s">
        <v>427</v>
      </c>
    </row>
    <row r="59" spans="1:13" ht="15">
      <c r="A59" s="150"/>
      <c r="B59" s="156"/>
      <c r="C59" s="4" t="s">
        <v>83</v>
      </c>
      <c r="D59" s="89" t="s">
        <v>115</v>
      </c>
      <c r="E59" s="89">
        <v>4</v>
      </c>
      <c r="F59" s="89" t="s">
        <v>70</v>
      </c>
      <c r="G59" s="89">
        <v>86</v>
      </c>
      <c r="H59" s="89" t="s">
        <v>201</v>
      </c>
      <c r="I59" s="89">
        <f t="shared" si="0"/>
        <v>344</v>
      </c>
      <c r="J59" s="89" t="s">
        <v>201</v>
      </c>
      <c r="K59" s="3">
        <f>(3.79/1000)*G59</f>
        <v>0.32594</v>
      </c>
      <c r="L59" s="20">
        <f t="shared" si="1"/>
        <v>1.30376</v>
      </c>
      <c r="M59" s="110">
        <f>SUM(L58:L74)/60</f>
        <v>0.30607449999999997</v>
      </c>
    </row>
    <row r="60" spans="1:12" ht="15">
      <c r="A60" s="150"/>
      <c r="B60" s="156"/>
      <c r="C60" s="4" t="s">
        <v>86</v>
      </c>
      <c r="D60" s="89" t="s">
        <v>116</v>
      </c>
      <c r="E60" s="89">
        <v>2</v>
      </c>
      <c r="F60" s="89" t="s">
        <v>70</v>
      </c>
      <c r="G60" s="89">
        <v>118</v>
      </c>
      <c r="H60" s="89" t="s">
        <v>201</v>
      </c>
      <c r="I60" s="89">
        <f t="shared" si="0"/>
        <v>236</v>
      </c>
      <c r="J60" s="89" t="s">
        <v>201</v>
      </c>
      <c r="K60" s="3">
        <f>(4.49/1000)*G60</f>
        <v>0.52982</v>
      </c>
      <c r="L60" s="20">
        <f t="shared" si="1"/>
        <v>1.05964</v>
      </c>
    </row>
    <row r="61" spans="1:12" ht="15">
      <c r="A61" s="150"/>
      <c r="B61" s="156"/>
      <c r="C61" s="4" t="s">
        <v>85</v>
      </c>
      <c r="D61" s="89" t="s">
        <v>113</v>
      </c>
      <c r="E61" s="89">
        <v>3</v>
      </c>
      <c r="F61" s="89" t="s">
        <v>70</v>
      </c>
      <c r="G61" s="89">
        <v>130</v>
      </c>
      <c r="H61" s="89" t="s">
        <v>201</v>
      </c>
      <c r="I61" s="89">
        <f t="shared" si="0"/>
        <v>390</v>
      </c>
      <c r="J61" s="89" t="s">
        <v>201</v>
      </c>
      <c r="K61" s="3">
        <f>(6.99/1000)*G61</f>
        <v>0.9087000000000001</v>
      </c>
      <c r="L61" s="20">
        <f t="shared" si="1"/>
        <v>2.7261</v>
      </c>
    </row>
    <row r="62" spans="1:12" ht="15">
      <c r="A62" s="150"/>
      <c r="B62" s="156"/>
      <c r="C62" s="4" t="s">
        <v>89</v>
      </c>
      <c r="D62" s="89" t="s">
        <v>118</v>
      </c>
      <c r="E62" s="89">
        <v>1</v>
      </c>
      <c r="F62" s="89" t="s">
        <v>70</v>
      </c>
      <c r="G62" s="89">
        <v>100</v>
      </c>
      <c r="H62" s="89" t="s">
        <v>201</v>
      </c>
      <c r="I62" s="89">
        <f t="shared" si="0"/>
        <v>100</v>
      </c>
      <c r="J62" s="89" t="s">
        <v>201</v>
      </c>
      <c r="K62" s="3">
        <f>(4.59/1000)*G62</f>
        <v>0.45899999999999996</v>
      </c>
      <c r="L62" s="20">
        <f t="shared" si="1"/>
        <v>0.45899999999999996</v>
      </c>
    </row>
    <row r="63" spans="1:12" ht="15">
      <c r="A63" s="150"/>
      <c r="B63" s="156"/>
      <c r="C63" s="4" t="s">
        <v>88</v>
      </c>
      <c r="D63" s="89" t="s">
        <v>113</v>
      </c>
      <c r="E63" s="89">
        <v>2</v>
      </c>
      <c r="F63" s="89" t="s">
        <v>70</v>
      </c>
      <c r="G63" s="89">
        <v>130</v>
      </c>
      <c r="H63" s="89" t="s">
        <v>201</v>
      </c>
      <c r="I63" s="89">
        <f t="shared" si="0"/>
        <v>260</v>
      </c>
      <c r="J63" s="89" t="s">
        <v>201</v>
      </c>
      <c r="K63" s="3">
        <f>(1.35/1000)*G63</f>
        <v>0.17550000000000002</v>
      </c>
      <c r="L63" s="20">
        <f t="shared" si="1"/>
        <v>0.35100000000000003</v>
      </c>
    </row>
    <row r="64" spans="1:12" ht="15">
      <c r="A64" s="150"/>
      <c r="B64" s="156"/>
      <c r="C64" s="4" t="s">
        <v>87</v>
      </c>
      <c r="D64" s="89" t="s">
        <v>117</v>
      </c>
      <c r="E64" s="89">
        <v>1</v>
      </c>
      <c r="F64" s="89" t="s">
        <v>70</v>
      </c>
      <c r="G64" s="89">
        <v>115</v>
      </c>
      <c r="H64" s="89" t="s">
        <v>201</v>
      </c>
      <c r="I64" s="89">
        <f t="shared" si="0"/>
        <v>115</v>
      </c>
      <c r="J64" s="89" t="s">
        <v>201</v>
      </c>
      <c r="K64" s="3">
        <f>(3.99/1000)*G64</f>
        <v>0.45885000000000004</v>
      </c>
      <c r="L64" s="20">
        <f t="shared" si="1"/>
        <v>0.45885000000000004</v>
      </c>
    </row>
    <row r="65" spans="1:12" ht="15">
      <c r="A65" s="150"/>
      <c r="B65" s="156"/>
      <c r="C65" s="4" t="s">
        <v>84</v>
      </c>
      <c r="D65" s="89" t="s">
        <v>114</v>
      </c>
      <c r="E65" s="89">
        <v>1</v>
      </c>
      <c r="F65" s="89" t="s">
        <v>70</v>
      </c>
      <c r="G65" s="89">
        <v>133</v>
      </c>
      <c r="H65" s="89" t="s">
        <v>201</v>
      </c>
      <c r="I65" s="89">
        <f t="shared" si="0"/>
        <v>133</v>
      </c>
      <c r="J65" s="89" t="s">
        <v>201</v>
      </c>
      <c r="K65" s="3">
        <f>(8.99/1000)*G65</f>
        <v>1.19567</v>
      </c>
      <c r="L65" s="20">
        <f t="shared" si="1"/>
        <v>1.19567</v>
      </c>
    </row>
    <row r="66" spans="1:12" ht="15">
      <c r="A66" s="150"/>
      <c r="B66" s="156"/>
      <c r="C66" s="4" t="s">
        <v>159</v>
      </c>
      <c r="D66" s="89" t="s">
        <v>118</v>
      </c>
      <c r="E66" s="89">
        <v>2</v>
      </c>
      <c r="F66" s="89" t="s">
        <v>70</v>
      </c>
      <c r="G66" s="89">
        <v>100</v>
      </c>
      <c r="H66" s="89" t="s">
        <v>201</v>
      </c>
      <c r="I66" s="89">
        <f t="shared" si="0"/>
        <v>200</v>
      </c>
      <c r="J66" s="89" t="s">
        <v>201</v>
      </c>
      <c r="K66" s="3">
        <f>(3.99/1000)*G66</f>
        <v>0.399</v>
      </c>
      <c r="L66" s="20">
        <f t="shared" si="1"/>
        <v>0.798</v>
      </c>
    </row>
    <row r="67" spans="1:12" ht="15">
      <c r="A67" s="150"/>
      <c r="B67" s="156" t="s">
        <v>63</v>
      </c>
      <c r="C67" s="4" t="s">
        <v>92</v>
      </c>
      <c r="D67" s="89" t="s">
        <v>112</v>
      </c>
      <c r="E67" s="89">
        <v>2</v>
      </c>
      <c r="F67" s="89" t="s">
        <v>65</v>
      </c>
      <c r="G67" s="89">
        <v>20</v>
      </c>
      <c r="H67" s="89" t="s">
        <v>201</v>
      </c>
      <c r="I67" s="89">
        <f t="shared" si="0"/>
        <v>40</v>
      </c>
      <c r="J67" s="89" t="s">
        <v>201</v>
      </c>
      <c r="K67" s="3">
        <f>(19.49/900)*20</f>
        <v>0.43311111111111106</v>
      </c>
      <c r="L67" s="20">
        <f t="shared" si="1"/>
        <v>0.8662222222222221</v>
      </c>
    </row>
    <row r="68" spans="1:12" ht="15">
      <c r="A68" s="150"/>
      <c r="B68" s="156"/>
      <c r="C68" s="4" t="s">
        <v>94</v>
      </c>
      <c r="D68" s="89" t="s">
        <v>112</v>
      </c>
      <c r="E68" s="89">
        <v>1</v>
      </c>
      <c r="F68" s="89" t="s">
        <v>65</v>
      </c>
      <c r="G68" s="89">
        <v>20</v>
      </c>
      <c r="H68" s="89" t="s">
        <v>201</v>
      </c>
      <c r="I68" s="89">
        <f aca="true" t="shared" si="5" ref="I68:I94">G68*E68</f>
        <v>20</v>
      </c>
      <c r="J68" s="89" t="s">
        <v>201</v>
      </c>
      <c r="K68" s="3">
        <f>21.55/20</f>
        <v>1.0775000000000001</v>
      </c>
      <c r="L68" s="20">
        <f aca="true" t="shared" si="6" ref="L68:L85">K68*E68</f>
        <v>1.0775000000000001</v>
      </c>
    </row>
    <row r="69" spans="1:14" ht="15">
      <c r="A69" s="150"/>
      <c r="B69" s="156"/>
      <c r="C69" s="4" t="s">
        <v>97</v>
      </c>
      <c r="D69" s="89" t="s">
        <v>112</v>
      </c>
      <c r="E69" s="89">
        <v>1</v>
      </c>
      <c r="F69" s="89" t="s">
        <v>65</v>
      </c>
      <c r="G69" s="89">
        <v>20</v>
      </c>
      <c r="H69" s="89" t="s">
        <v>201</v>
      </c>
      <c r="I69" s="89">
        <f t="shared" si="5"/>
        <v>20</v>
      </c>
      <c r="J69" s="89" t="s">
        <v>201</v>
      </c>
      <c r="K69" s="3">
        <f>17/20</f>
        <v>0.85</v>
      </c>
      <c r="L69" s="20">
        <f t="shared" si="6"/>
        <v>0.85</v>
      </c>
      <c r="N69" s="27"/>
    </row>
    <row r="70" spans="1:12" ht="15">
      <c r="A70" s="150"/>
      <c r="B70" s="156"/>
      <c r="C70" s="4" t="s">
        <v>95</v>
      </c>
      <c r="D70" s="89" t="s">
        <v>112</v>
      </c>
      <c r="E70" s="89">
        <v>2</v>
      </c>
      <c r="F70" s="89" t="s">
        <v>65</v>
      </c>
      <c r="G70" s="89">
        <v>20</v>
      </c>
      <c r="H70" s="89" t="s">
        <v>201</v>
      </c>
      <c r="I70" s="89">
        <f t="shared" si="5"/>
        <v>40</v>
      </c>
      <c r="J70" s="89" t="s">
        <v>201</v>
      </c>
      <c r="K70" s="3">
        <f>39.1/40</f>
        <v>0.9775</v>
      </c>
      <c r="L70" s="20">
        <f t="shared" si="6"/>
        <v>1.955</v>
      </c>
    </row>
    <row r="71" spans="1:12" ht="15">
      <c r="A71" s="150"/>
      <c r="B71" s="156"/>
      <c r="C71" s="4" t="s">
        <v>90</v>
      </c>
      <c r="D71" s="89" t="s">
        <v>112</v>
      </c>
      <c r="E71" s="89">
        <v>2</v>
      </c>
      <c r="F71" s="89" t="s">
        <v>65</v>
      </c>
      <c r="G71" s="89">
        <v>20</v>
      </c>
      <c r="H71" s="89" t="s">
        <v>201</v>
      </c>
      <c r="I71" s="89">
        <f t="shared" si="5"/>
        <v>40</v>
      </c>
      <c r="J71" s="89" t="s">
        <v>201</v>
      </c>
      <c r="K71" s="3">
        <f>12.71/16</f>
        <v>0.794375</v>
      </c>
      <c r="L71" s="20">
        <f t="shared" si="6"/>
        <v>1.58875</v>
      </c>
    </row>
    <row r="72" spans="1:12" ht="15">
      <c r="A72" s="150"/>
      <c r="B72" s="156"/>
      <c r="C72" s="4" t="s">
        <v>91</v>
      </c>
      <c r="D72" s="89" t="s">
        <v>112</v>
      </c>
      <c r="E72" s="89">
        <v>2</v>
      </c>
      <c r="F72" s="89" t="s">
        <v>65</v>
      </c>
      <c r="G72" s="89">
        <v>20</v>
      </c>
      <c r="H72" s="89" t="s">
        <v>201</v>
      </c>
      <c r="I72" s="89">
        <f t="shared" si="5"/>
        <v>40</v>
      </c>
      <c r="J72" s="89" t="s">
        <v>201</v>
      </c>
      <c r="K72" s="3">
        <f>18.9/100</f>
        <v>0.18899999999999997</v>
      </c>
      <c r="L72" s="20">
        <f t="shared" si="6"/>
        <v>0.37799999999999995</v>
      </c>
    </row>
    <row r="73" spans="1:12" ht="15">
      <c r="A73" s="150"/>
      <c r="B73" s="156"/>
      <c r="C73" s="4" t="s">
        <v>93</v>
      </c>
      <c r="D73" s="89" t="s">
        <v>112</v>
      </c>
      <c r="E73" s="89">
        <v>2</v>
      </c>
      <c r="F73" s="89" t="s">
        <v>65</v>
      </c>
      <c r="G73" s="89">
        <v>20</v>
      </c>
      <c r="H73" s="89" t="s">
        <v>201</v>
      </c>
      <c r="I73" s="89">
        <f t="shared" si="5"/>
        <v>40</v>
      </c>
      <c r="J73" s="89" t="s">
        <v>201</v>
      </c>
      <c r="K73" s="3">
        <f>19.98/50</f>
        <v>0.3996</v>
      </c>
      <c r="L73" s="20">
        <f t="shared" si="6"/>
        <v>0.7992</v>
      </c>
    </row>
    <row r="74" spans="1:12" ht="15.75" thickBot="1">
      <c r="A74" s="155"/>
      <c r="B74" s="157"/>
      <c r="C74" s="22" t="s">
        <v>96</v>
      </c>
      <c r="D74" s="96" t="s">
        <v>112</v>
      </c>
      <c r="E74" s="96">
        <v>1</v>
      </c>
      <c r="F74" s="96" t="s">
        <v>65</v>
      </c>
      <c r="G74" s="96">
        <v>20</v>
      </c>
      <c r="H74" s="96" t="s">
        <v>201</v>
      </c>
      <c r="I74" s="96">
        <f t="shared" si="5"/>
        <v>20</v>
      </c>
      <c r="J74" s="96" t="s">
        <v>201</v>
      </c>
      <c r="K74" s="95">
        <f>28.9/36</f>
        <v>0.8027777777777777</v>
      </c>
      <c r="L74" s="23">
        <f t="shared" si="6"/>
        <v>0.8027777777777777</v>
      </c>
    </row>
    <row r="75" spans="1:13" ht="15">
      <c r="A75" s="149" t="s">
        <v>82</v>
      </c>
      <c r="B75" s="160" t="s">
        <v>64</v>
      </c>
      <c r="C75" s="18" t="s">
        <v>108</v>
      </c>
      <c r="D75" s="100" t="s">
        <v>105</v>
      </c>
      <c r="E75" s="100">
        <v>5</v>
      </c>
      <c r="F75" s="100" t="s">
        <v>65</v>
      </c>
      <c r="G75" s="100">
        <v>50</v>
      </c>
      <c r="H75" s="100" t="s">
        <v>201</v>
      </c>
      <c r="I75" s="100">
        <f t="shared" si="5"/>
        <v>250</v>
      </c>
      <c r="J75" s="100" t="s">
        <v>201</v>
      </c>
      <c r="K75" s="94">
        <f>1.65/2</f>
        <v>0.825</v>
      </c>
      <c r="L75" s="19">
        <f t="shared" si="6"/>
        <v>4.125</v>
      </c>
      <c r="M75" s="114" t="s">
        <v>431</v>
      </c>
    </row>
    <row r="76" spans="1:13" ht="15">
      <c r="A76" s="150"/>
      <c r="B76" s="156"/>
      <c r="C76" s="4" t="s">
        <v>109</v>
      </c>
      <c r="D76" s="98" t="s">
        <v>105</v>
      </c>
      <c r="E76" s="98">
        <v>4</v>
      </c>
      <c r="F76" s="98" t="s">
        <v>65</v>
      </c>
      <c r="G76" s="98">
        <v>50</v>
      </c>
      <c r="H76" s="98" t="s">
        <v>201</v>
      </c>
      <c r="I76" s="98">
        <f t="shared" si="5"/>
        <v>200</v>
      </c>
      <c r="J76" s="98" t="s">
        <v>201</v>
      </c>
      <c r="K76" s="3">
        <f>3.29/4</f>
        <v>0.8225</v>
      </c>
      <c r="L76" s="20">
        <f t="shared" si="6"/>
        <v>3.29</v>
      </c>
      <c r="M76" s="115">
        <f>AVERAGE(K75:K77)*13</f>
        <v>9.219166666666666</v>
      </c>
    </row>
    <row r="77" spans="1:13" ht="15">
      <c r="A77" s="150"/>
      <c r="B77" s="156"/>
      <c r="C77" s="4" t="s">
        <v>110</v>
      </c>
      <c r="D77" s="98" t="s">
        <v>105</v>
      </c>
      <c r="E77" s="98">
        <v>4</v>
      </c>
      <c r="F77" s="98" t="s">
        <v>65</v>
      </c>
      <c r="G77" s="98">
        <v>50</v>
      </c>
      <c r="H77" s="98" t="s">
        <v>201</v>
      </c>
      <c r="I77" s="98">
        <f t="shared" si="5"/>
        <v>200</v>
      </c>
      <c r="J77" s="98" t="s">
        <v>201</v>
      </c>
      <c r="K77" s="3">
        <f>1.92/4</f>
        <v>0.48</v>
      </c>
      <c r="L77" s="20">
        <f t="shared" si="6"/>
        <v>1.92</v>
      </c>
      <c r="M77" s="114" t="s">
        <v>430</v>
      </c>
    </row>
    <row r="78" spans="1:13" ht="15">
      <c r="A78" s="150"/>
      <c r="B78" s="156" t="s">
        <v>107</v>
      </c>
      <c r="C78" s="4" t="s">
        <v>142</v>
      </c>
      <c r="D78" s="98" t="s">
        <v>106</v>
      </c>
      <c r="E78" s="98">
        <v>16</v>
      </c>
      <c r="F78" s="98" t="s">
        <v>65</v>
      </c>
      <c r="G78" s="98">
        <v>50</v>
      </c>
      <c r="H78" s="98" t="s">
        <v>201</v>
      </c>
      <c r="I78" s="98">
        <f t="shared" si="5"/>
        <v>800</v>
      </c>
      <c r="J78" s="98" t="s">
        <v>201</v>
      </c>
      <c r="K78" s="3">
        <f>(17.99/1000)*50</f>
        <v>0.8995</v>
      </c>
      <c r="L78" s="20">
        <f t="shared" si="6"/>
        <v>14.392</v>
      </c>
      <c r="M78" s="116">
        <f>AVERAGE(K78:K79)*34</f>
        <v>32.2065</v>
      </c>
    </row>
    <row r="79" spans="1:12" ht="15">
      <c r="A79" s="150"/>
      <c r="B79" s="156"/>
      <c r="C79" s="4" t="s">
        <v>9</v>
      </c>
      <c r="D79" s="98" t="s">
        <v>106</v>
      </c>
      <c r="E79" s="98">
        <v>18</v>
      </c>
      <c r="F79" s="98" t="s">
        <v>65</v>
      </c>
      <c r="G79" s="98">
        <v>50</v>
      </c>
      <c r="H79" s="98" t="s">
        <v>201</v>
      </c>
      <c r="I79" s="98">
        <f t="shared" si="5"/>
        <v>900</v>
      </c>
      <c r="J79" s="98" t="s">
        <v>201</v>
      </c>
      <c r="K79" s="3">
        <f>(9.95/500)*50</f>
        <v>0.9949999999999999</v>
      </c>
      <c r="L79" s="20">
        <f t="shared" si="6"/>
        <v>17.909999999999997</v>
      </c>
    </row>
    <row r="80" spans="1:14" ht="30">
      <c r="A80" s="150"/>
      <c r="B80" s="156" t="s">
        <v>98</v>
      </c>
      <c r="C80" s="4" t="s">
        <v>104</v>
      </c>
      <c r="D80" s="98" t="s">
        <v>162</v>
      </c>
      <c r="E80" s="98">
        <v>6</v>
      </c>
      <c r="F80" s="98" t="s">
        <v>409</v>
      </c>
      <c r="G80" s="98">
        <v>15</v>
      </c>
      <c r="H80" s="98" t="s">
        <v>201</v>
      </c>
      <c r="I80" s="98">
        <f t="shared" si="5"/>
        <v>90</v>
      </c>
      <c r="J80" s="98" t="s">
        <v>201</v>
      </c>
      <c r="K80" s="3">
        <f>2.49/6.66</f>
        <v>0.3738738738738739</v>
      </c>
      <c r="L80" s="20">
        <f t="shared" si="6"/>
        <v>2.2432432432432434</v>
      </c>
      <c r="M80" s="114" t="s">
        <v>429</v>
      </c>
      <c r="N80" s="114" t="s">
        <v>434</v>
      </c>
    </row>
    <row r="81" spans="1:14" ht="15">
      <c r="A81" s="150"/>
      <c r="B81" s="156"/>
      <c r="C81" s="4" t="s">
        <v>103</v>
      </c>
      <c r="D81" s="98" t="s">
        <v>162</v>
      </c>
      <c r="E81" s="98">
        <v>4</v>
      </c>
      <c r="F81" s="98" t="s">
        <v>409</v>
      </c>
      <c r="G81" s="98">
        <v>15</v>
      </c>
      <c r="H81" s="98" t="s">
        <v>201</v>
      </c>
      <c r="I81" s="98">
        <f t="shared" si="5"/>
        <v>60</v>
      </c>
      <c r="J81" s="98" t="s">
        <v>201</v>
      </c>
      <c r="K81" s="3">
        <f>9.18/13.33</f>
        <v>0.6886721680420105</v>
      </c>
      <c r="L81" s="20">
        <f t="shared" si="6"/>
        <v>2.754688672168042</v>
      </c>
      <c r="M81" s="116">
        <f>AVERAGE(K80:K85)*34</f>
        <v>19.16941169350429</v>
      </c>
      <c r="N81" s="116">
        <f>(M87+M84+M76)/30</f>
        <v>2.7028892786723655</v>
      </c>
    </row>
    <row r="82" spans="1:12" ht="15">
      <c r="A82" s="150"/>
      <c r="B82" s="156"/>
      <c r="C82" s="4" t="s">
        <v>102</v>
      </c>
      <c r="D82" s="98" t="s">
        <v>162</v>
      </c>
      <c r="E82" s="98">
        <v>8</v>
      </c>
      <c r="F82" s="98" t="s">
        <v>409</v>
      </c>
      <c r="G82" s="98">
        <v>15</v>
      </c>
      <c r="H82" s="98" t="s">
        <v>201</v>
      </c>
      <c r="I82" s="98">
        <f t="shared" si="5"/>
        <v>120</v>
      </c>
      <c r="J82" s="98" t="s">
        <v>201</v>
      </c>
      <c r="K82" s="3">
        <f>15.99/33.333</f>
        <v>0.47970479704797053</v>
      </c>
      <c r="L82" s="20">
        <f t="shared" si="6"/>
        <v>3.8376383763837643</v>
      </c>
    </row>
    <row r="83" spans="1:13" ht="15">
      <c r="A83" s="150"/>
      <c r="B83" s="156"/>
      <c r="C83" s="4" t="s">
        <v>100</v>
      </c>
      <c r="D83" s="98" t="s">
        <v>162</v>
      </c>
      <c r="E83" s="98">
        <v>6</v>
      </c>
      <c r="F83" s="98" t="s">
        <v>409</v>
      </c>
      <c r="G83" s="98">
        <v>15</v>
      </c>
      <c r="H83" s="98" t="s">
        <v>201</v>
      </c>
      <c r="I83" s="98">
        <f t="shared" si="5"/>
        <v>90</v>
      </c>
      <c r="J83" s="98" t="s">
        <v>201</v>
      </c>
      <c r="K83" s="3">
        <f>3.6/6.666</f>
        <v>0.54005400540054</v>
      </c>
      <c r="L83" s="20">
        <f t="shared" si="6"/>
        <v>3.2403240324032403</v>
      </c>
      <c r="M83" s="114" t="s">
        <v>433</v>
      </c>
    </row>
    <row r="84" spans="1:13" ht="15">
      <c r="A84" s="150"/>
      <c r="B84" s="156"/>
      <c r="C84" s="4" t="s">
        <v>99</v>
      </c>
      <c r="D84" s="98" t="s">
        <v>162</v>
      </c>
      <c r="E84" s="98">
        <v>6</v>
      </c>
      <c r="F84" s="98" t="s">
        <v>409</v>
      </c>
      <c r="G84" s="98">
        <v>15</v>
      </c>
      <c r="H84" s="98" t="s">
        <v>201</v>
      </c>
      <c r="I84" s="98">
        <f t="shared" si="5"/>
        <v>90</v>
      </c>
      <c r="J84" s="98" t="s">
        <v>201</v>
      </c>
      <c r="K84" s="3">
        <f>13.16/26.666</f>
        <v>0.4935123378084452</v>
      </c>
      <c r="L84" s="20">
        <f t="shared" si="6"/>
        <v>2.9610740268506714</v>
      </c>
      <c r="M84" s="116">
        <f>M78+M81</f>
        <v>51.37591169350429</v>
      </c>
    </row>
    <row r="85" spans="1:12" ht="15">
      <c r="A85" s="150"/>
      <c r="B85" s="156"/>
      <c r="C85" s="4" t="s">
        <v>101</v>
      </c>
      <c r="D85" s="98" t="s">
        <v>162</v>
      </c>
      <c r="E85" s="98">
        <v>4</v>
      </c>
      <c r="F85" s="98" t="s">
        <v>409</v>
      </c>
      <c r="G85" s="98">
        <v>15</v>
      </c>
      <c r="H85" s="98" t="s">
        <v>201</v>
      </c>
      <c r="I85" s="98">
        <f t="shared" si="5"/>
        <v>60</v>
      </c>
      <c r="J85" s="98" t="s">
        <v>201</v>
      </c>
      <c r="K85" s="3">
        <f>10.76/13.333</f>
        <v>0.8070201755043875</v>
      </c>
      <c r="L85" s="20">
        <f t="shared" si="6"/>
        <v>3.22808070201755</v>
      </c>
    </row>
    <row r="86" spans="1:13" ht="30">
      <c r="A86" s="150"/>
      <c r="B86" s="156" t="s">
        <v>62</v>
      </c>
      <c r="C86" s="4" t="s">
        <v>119</v>
      </c>
      <c r="D86" s="98" t="s">
        <v>118</v>
      </c>
      <c r="E86" s="98">
        <v>2</v>
      </c>
      <c r="F86" s="98" t="s">
        <v>70</v>
      </c>
      <c r="G86" s="98">
        <v>100</v>
      </c>
      <c r="H86" s="98" t="s">
        <v>201</v>
      </c>
      <c r="I86" s="98">
        <f t="shared" si="5"/>
        <v>200</v>
      </c>
      <c r="J86" s="98" t="s">
        <v>201</v>
      </c>
      <c r="K86" s="3">
        <f>3.39/2</f>
        <v>1.695</v>
      </c>
      <c r="L86" s="20">
        <f aca="true" t="shared" si="7" ref="L86:L94">K86*E86</f>
        <v>3.39</v>
      </c>
      <c r="M86" s="114" t="s">
        <v>432</v>
      </c>
    </row>
    <row r="87" spans="1:13" ht="15">
      <c r="A87" s="150"/>
      <c r="B87" s="156"/>
      <c r="C87" s="4" t="s">
        <v>83</v>
      </c>
      <c r="D87" s="98" t="s">
        <v>115</v>
      </c>
      <c r="E87" s="98">
        <v>6</v>
      </c>
      <c r="F87" s="98" t="s">
        <v>70</v>
      </c>
      <c r="G87" s="98">
        <v>86</v>
      </c>
      <c r="H87" s="98" t="s">
        <v>201</v>
      </c>
      <c r="I87" s="98">
        <f t="shared" si="5"/>
        <v>516</v>
      </c>
      <c r="J87" s="98" t="s">
        <v>201</v>
      </c>
      <c r="K87" s="3">
        <f>(3.79/1000)*G87</f>
        <v>0.32594</v>
      </c>
      <c r="L87" s="20">
        <f t="shared" si="7"/>
        <v>1.95564</v>
      </c>
      <c r="M87" s="116">
        <f>AVERAGE(K86:K94)*30</f>
        <v>20.4916</v>
      </c>
    </row>
    <row r="88" spans="1:12" ht="15">
      <c r="A88" s="150"/>
      <c r="B88" s="156"/>
      <c r="C88" s="4" t="s">
        <v>86</v>
      </c>
      <c r="D88" s="98" t="s">
        <v>116</v>
      </c>
      <c r="E88" s="98">
        <v>3</v>
      </c>
      <c r="F88" s="98" t="s">
        <v>70</v>
      </c>
      <c r="G88" s="98">
        <v>118</v>
      </c>
      <c r="H88" s="98" t="s">
        <v>201</v>
      </c>
      <c r="I88" s="98">
        <f t="shared" si="5"/>
        <v>354</v>
      </c>
      <c r="J88" s="98" t="s">
        <v>201</v>
      </c>
      <c r="K88" s="3">
        <f>(4.49/1000)*G88</f>
        <v>0.52982</v>
      </c>
      <c r="L88" s="20">
        <f t="shared" si="7"/>
        <v>1.5894599999999999</v>
      </c>
    </row>
    <row r="89" spans="1:12" ht="15">
      <c r="A89" s="150"/>
      <c r="B89" s="156"/>
      <c r="C89" s="4" t="s">
        <v>85</v>
      </c>
      <c r="D89" s="98" t="s">
        <v>113</v>
      </c>
      <c r="E89" s="98">
        <v>5</v>
      </c>
      <c r="F89" s="98" t="s">
        <v>70</v>
      </c>
      <c r="G89" s="98">
        <v>130</v>
      </c>
      <c r="H89" s="98" t="s">
        <v>201</v>
      </c>
      <c r="I89" s="98">
        <f t="shared" si="5"/>
        <v>650</v>
      </c>
      <c r="J89" s="98" t="s">
        <v>201</v>
      </c>
      <c r="K89" s="3">
        <f>(6.99/1000)*G89</f>
        <v>0.9087000000000001</v>
      </c>
      <c r="L89" s="20">
        <f t="shared" si="7"/>
        <v>4.5435</v>
      </c>
    </row>
    <row r="90" spans="1:12" ht="15">
      <c r="A90" s="150"/>
      <c r="B90" s="156"/>
      <c r="C90" s="4" t="s">
        <v>89</v>
      </c>
      <c r="D90" s="98" t="s">
        <v>118</v>
      </c>
      <c r="E90" s="98">
        <v>3</v>
      </c>
      <c r="F90" s="98" t="s">
        <v>70</v>
      </c>
      <c r="G90" s="98">
        <v>100</v>
      </c>
      <c r="H90" s="98" t="s">
        <v>201</v>
      </c>
      <c r="I90" s="98">
        <f t="shared" si="5"/>
        <v>300</v>
      </c>
      <c r="J90" s="98" t="s">
        <v>201</v>
      </c>
      <c r="K90" s="3">
        <f>(4.59/1000)*G90</f>
        <v>0.45899999999999996</v>
      </c>
      <c r="L90" s="20">
        <f t="shared" si="7"/>
        <v>1.3769999999999998</v>
      </c>
    </row>
    <row r="91" spans="1:12" ht="15">
      <c r="A91" s="150"/>
      <c r="B91" s="156"/>
      <c r="C91" s="4" t="s">
        <v>88</v>
      </c>
      <c r="D91" s="98" t="s">
        <v>113</v>
      </c>
      <c r="E91" s="98">
        <v>3</v>
      </c>
      <c r="F91" s="98" t="s">
        <v>70</v>
      </c>
      <c r="G91" s="98">
        <v>130</v>
      </c>
      <c r="H91" s="98" t="s">
        <v>201</v>
      </c>
      <c r="I91" s="98">
        <f t="shared" si="5"/>
        <v>390</v>
      </c>
      <c r="J91" s="98" t="s">
        <v>201</v>
      </c>
      <c r="K91" s="3">
        <f>(1.35/1000)*G91</f>
        <v>0.17550000000000002</v>
      </c>
      <c r="L91" s="20">
        <f t="shared" si="7"/>
        <v>0.5265000000000001</v>
      </c>
    </row>
    <row r="92" spans="1:12" ht="15">
      <c r="A92" s="150"/>
      <c r="B92" s="156"/>
      <c r="C92" s="4" t="s">
        <v>87</v>
      </c>
      <c r="D92" s="98" t="s">
        <v>117</v>
      </c>
      <c r="E92" s="98">
        <v>3</v>
      </c>
      <c r="F92" s="98" t="s">
        <v>70</v>
      </c>
      <c r="G92" s="98">
        <v>115</v>
      </c>
      <c r="H92" s="98" t="s">
        <v>201</v>
      </c>
      <c r="I92" s="98">
        <f t="shared" si="5"/>
        <v>345</v>
      </c>
      <c r="J92" s="98" t="s">
        <v>201</v>
      </c>
      <c r="K92" s="3">
        <f>(3.99/1000)*G92</f>
        <v>0.45885000000000004</v>
      </c>
      <c r="L92" s="20">
        <f t="shared" si="7"/>
        <v>1.3765500000000002</v>
      </c>
    </row>
    <row r="93" spans="1:12" ht="15">
      <c r="A93" s="150"/>
      <c r="B93" s="156"/>
      <c r="C93" s="4" t="s">
        <v>84</v>
      </c>
      <c r="D93" s="98" t="s">
        <v>114</v>
      </c>
      <c r="E93" s="98">
        <v>2</v>
      </c>
      <c r="F93" s="98" t="s">
        <v>70</v>
      </c>
      <c r="G93" s="98">
        <v>133</v>
      </c>
      <c r="H93" s="98" t="s">
        <v>201</v>
      </c>
      <c r="I93" s="98">
        <f t="shared" si="5"/>
        <v>266</v>
      </c>
      <c r="J93" s="98" t="s">
        <v>201</v>
      </c>
      <c r="K93" s="3">
        <f>(8.99/1000)*G93</f>
        <v>1.19567</v>
      </c>
      <c r="L93" s="20">
        <f t="shared" si="7"/>
        <v>2.39134</v>
      </c>
    </row>
    <row r="94" spans="1:12" ht="15.75" thickBot="1">
      <c r="A94" s="155"/>
      <c r="B94" s="157"/>
      <c r="C94" s="22" t="s">
        <v>159</v>
      </c>
      <c r="D94" s="99" t="s">
        <v>118</v>
      </c>
      <c r="E94" s="99">
        <v>3</v>
      </c>
      <c r="F94" s="99" t="s">
        <v>70</v>
      </c>
      <c r="G94" s="99">
        <v>100</v>
      </c>
      <c r="H94" s="99" t="s">
        <v>201</v>
      </c>
      <c r="I94" s="99">
        <f t="shared" si="5"/>
        <v>300</v>
      </c>
      <c r="J94" s="99" t="s">
        <v>201</v>
      </c>
      <c r="K94" s="95">
        <f>(3.99/1000)*G94</f>
        <v>0.399</v>
      </c>
      <c r="L94" s="23">
        <f t="shared" si="7"/>
        <v>1.197</v>
      </c>
    </row>
    <row r="95" spans="2:11" ht="15">
      <c r="B95" s="111"/>
      <c r="C95" s="112"/>
      <c r="D95" s="111"/>
      <c r="E95" s="111"/>
      <c r="F95" s="111"/>
      <c r="G95" s="111"/>
      <c r="H95" s="111"/>
      <c r="I95" s="111"/>
      <c r="J95" s="111"/>
      <c r="K95" s="113"/>
    </row>
    <row r="96" spans="2:11" ht="15">
      <c r="B96" s="111"/>
      <c r="C96" s="112"/>
      <c r="D96" s="111"/>
      <c r="E96" s="111"/>
      <c r="F96" s="111"/>
      <c r="G96" s="111"/>
      <c r="H96" s="111"/>
      <c r="I96" s="111"/>
      <c r="J96" s="111"/>
      <c r="K96" s="113"/>
    </row>
    <row r="97" spans="4:5" ht="15">
      <c r="D97" s="41" t="s">
        <v>35</v>
      </c>
      <c r="E97" s="41" t="s">
        <v>376</v>
      </c>
    </row>
    <row r="98" spans="4:5" ht="15">
      <c r="D98" s="42" t="s">
        <v>31</v>
      </c>
      <c r="E98" s="123">
        <f>M3</f>
        <v>3.5583679999999993</v>
      </c>
    </row>
    <row r="99" spans="4:5" ht="15">
      <c r="D99" s="42" t="s">
        <v>32</v>
      </c>
      <c r="E99" s="123">
        <f>N18</f>
        <v>5.8573558809523805</v>
      </c>
    </row>
    <row r="100" spans="4:5" ht="15">
      <c r="D100" s="42" t="s">
        <v>33</v>
      </c>
      <c r="E100" s="123">
        <f>N21</f>
        <v>5.55128138095238</v>
      </c>
    </row>
    <row r="101" spans="4:5" ht="15">
      <c r="D101" s="42" t="s">
        <v>82</v>
      </c>
      <c r="E101" s="123">
        <f>N81</f>
        <v>2.7028892786723655</v>
      </c>
    </row>
    <row r="102" spans="4:5" ht="30">
      <c r="D102" s="41" t="s">
        <v>218</v>
      </c>
      <c r="E102" s="124">
        <f>SUM(E98:E101)</f>
        <v>17.669894540577125</v>
      </c>
    </row>
    <row r="105" spans="3:6" ht="15">
      <c r="C105" s="119"/>
      <c r="D105" s="27"/>
      <c r="E105" s="27"/>
      <c r="F105" s="27"/>
    </row>
    <row r="106" spans="3:6" ht="15">
      <c r="C106" s="119"/>
      <c r="D106" s="27"/>
      <c r="E106" s="27"/>
      <c r="F106" s="27"/>
    </row>
    <row r="107" spans="3:6" ht="15">
      <c r="C107" s="119"/>
      <c r="D107" s="27"/>
      <c r="E107" s="27"/>
      <c r="F107" s="27"/>
    </row>
    <row r="108" spans="3:6" ht="15">
      <c r="C108" s="120"/>
      <c r="D108" s="120"/>
      <c r="E108" s="120"/>
      <c r="F108" s="27"/>
    </row>
    <row r="109" spans="3:6" ht="15">
      <c r="C109" s="119"/>
      <c r="D109" s="27"/>
      <c r="E109" s="27"/>
      <c r="F109" s="27"/>
    </row>
    <row r="110" spans="3:6" ht="15">
      <c r="C110" s="119"/>
      <c r="D110" s="27"/>
      <c r="E110" s="27"/>
      <c r="F110" s="27"/>
    </row>
    <row r="111" spans="3:6" ht="15">
      <c r="C111" s="119"/>
      <c r="D111" s="27"/>
      <c r="E111" s="27"/>
      <c r="F111" s="27"/>
    </row>
    <row r="112" spans="3:6" ht="15">
      <c r="C112" s="119"/>
      <c r="D112" s="27"/>
      <c r="E112" s="27"/>
      <c r="F112" s="27"/>
    </row>
    <row r="113" spans="3:6" ht="15">
      <c r="C113" s="119"/>
      <c r="D113" s="27"/>
      <c r="E113" s="27"/>
      <c r="F113" s="27"/>
    </row>
    <row r="114" spans="3:6" ht="15">
      <c r="C114" s="119"/>
      <c r="D114" s="27"/>
      <c r="E114" s="27"/>
      <c r="F114" s="27"/>
    </row>
    <row r="115" spans="3:6" ht="15">
      <c r="C115" s="119"/>
      <c r="D115" s="27"/>
      <c r="E115" s="27"/>
      <c r="F115" s="27"/>
    </row>
  </sheetData>
  <sheetProtection/>
  <mergeCells count="37">
    <mergeCell ref="L1:L2"/>
    <mergeCell ref="B1:B2"/>
    <mergeCell ref="E1:F1"/>
    <mergeCell ref="G1:H1"/>
    <mergeCell ref="I1:J1"/>
    <mergeCell ref="C1:C2"/>
    <mergeCell ref="D1:D2"/>
    <mergeCell ref="A9:A74"/>
    <mergeCell ref="B9:B11"/>
    <mergeCell ref="B80:B85"/>
    <mergeCell ref="B78:B79"/>
    <mergeCell ref="B67:B74"/>
    <mergeCell ref="B75:B77"/>
    <mergeCell ref="B12:B20"/>
    <mergeCell ref="B21:B27"/>
    <mergeCell ref="B28:B34"/>
    <mergeCell ref="B36:B37"/>
    <mergeCell ref="Q3:Q4"/>
    <mergeCell ref="M1:M2"/>
    <mergeCell ref="A75:A94"/>
    <mergeCell ref="B86:B94"/>
    <mergeCell ref="B58:B66"/>
    <mergeCell ref="A1:A2"/>
    <mergeCell ref="A3:A8"/>
    <mergeCell ref="B3:B4"/>
    <mergeCell ref="B38:B56"/>
    <mergeCell ref="B5:B7"/>
    <mergeCell ref="N2:R2"/>
    <mergeCell ref="R3:R4"/>
    <mergeCell ref="P6:P7"/>
    <mergeCell ref="Q6:Q7"/>
    <mergeCell ref="R6:R7"/>
    <mergeCell ref="N6:N7"/>
    <mergeCell ref="N3:N4"/>
    <mergeCell ref="O3:O4"/>
    <mergeCell ref="O6:O7"/>
    <mergeCell ref="P3:P4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K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8.57421875" style="5" customWidth="1"/>
    <col min="2" max="2" width="11.7109375" style="5" customWidth="1"/>
    <col min="3" max="3" width="10.7109375" style="5" customWidth="1"/>
    <col min="4" max="4" width="11.421875" style="5" customWidth="1"/>
    <col min="5" max="5" width="13.140625" style="5" customWidth="1"/>
    <col min="6" max="6" width="12.28125" style="5" customWidth="1"/>
    <col min="7" max="7" width="9.140625" style="5" customWidth="1"/>
    <col min="8" max="8" width="42.00390625" style="5" customWidth="1"/>
    <col min="9" max="9" width="11.00390625" style="5" bestFit="1" customWidth="1"/>
    <col min="10" max="16384" width="9.140625" style="5" customWidth="1"/>
  </cols>
  <sheetData>
    <row r="1" spans="1:6" ht="15">
      <c r="A1" s="144" t="s">
        <v>219</v>
      </c>
      <c r="B1" s="144"/>
      <c r="C1" s="144"/>
      <c r="D1" s="144"/>
      <c r="E1" s="144"/>
      <c r="F1" s="144"/>
    </row>
    <row r="2" spans="1:9" ht="15">
      <c r="A2" s="144" t="s">
        <v>35</v>
      </c>
      <c r="B2" s="144" t="s">
        <v>206</v>
      </c>
      <c r="C2" s="144" t="s">
        <v>2</v>
      </c>
      <c r="D2" s="144"/>
      <c r="E2" s="144" t="s">
        <v>207</v>
      </c>
      <c r="F2" s="144" t="s">
        <v>208</v>
      </c>
      <c r="H2" s="39" t="s">
        <v>229</v>
      </c>
      <c r="I2" s="41" t="s">
        <v>376</v>
      </c>
    </row>
    <row r="3" spans="1:9" ht="15">
      <c r="A3" s="144"/>
      <c r="B3" s="144"/>
      <c r="C3" s="30" t="s">
        <v>209</v>
      </c>
      <c r="D3" s="30" t="s">
        <v>210</v>
      </c>
      <c r="E3" s="144"/>
      <c r="F3" s="144"/>
      <c r="H3" s="35" t="s">
        <v>219</v>
      </c>
      <c r="I3" s="38">
        <f>F8</f>
        <v>1.1828510399999999</v>
      </c>
    </row>
    <row r="4" spans="1:9" ht="15">
      <c r="A4" s="29" t="s">
        <v>211</v>
      </c>
      <c r="B4" s="29" t="s">
        <v>212</v>
      </c>
      <c r="C4" s="29">
        <v>2</v>
      </c>
      <c r="D4" s="29" t="s">
        <v>213</v>
      </c>
      <c r="E4" s="38">
        <v>0.349</v>
      </c>
      <c r="F4" s="38">
        <f>E4*C4</f>
        <v>0.698</v>
      </c>
      <c r="G4" s="48"/>
      <c r="H4" s="35" t="s">
        <v>230</v>
      </c>
      <c r="I4" s="38">
        <f>F18</f>
        <v>0.018581333333333335</v>
      </c>
    </row>
    <row r="5" spans="1:9" ht="15">
      <c r="A5" s="29" t="s">
        <v>214</v>
      </c>
      <c r="B5" s="29" t="s">
        <v>212</v>
      </c>
      <c r="C5" s="29">
        <v>2</v>
      </c>
      <c r="D5" s="29" t="s">
        <v>213</v>
      </c>
      <c r="E5" s="38">
        <v>0.1344</v>
      </c>
      <c r="F5" s="38">
        <f>E5*C5</f>
        <v>0.2688</v>
      </c>
      <c r="G5" s="48"/>
      <c r="H5" s="39" t="s">
        <v>218</v>
      </c>
      <c r="I5" s="40">
        <f>SUM(I3:I4)</f>
        <v>1.2014323733333332</v>
      </c>
    </row>
    <row r="6" spans="1:7" ht="15">
      <c r="A6" s="29" t="s">
        <v>215</v>
      </c>
      <c r="B6" s="29" t="s">
        <v>212</v>
      </c>
      <c r="C6" s="29">
        <v>1.5666</v>
      </c>
      <c r="D6" s="29" t="s">
        <v>213</v>
      </c>
      <c r="E6" s="38">
        <v>0.1344</v>
      </c>
      <c r="F6" s="38">
        <f>E6*C6</f>
        <v>0.21055104</v>
      </c>
      <c r="G6" s="48"/>
    </row>
    <row r="7" spans="1:10" ht="15">
      <c r="A7" s="29" t="s">
        <v>216</v>
      </c>
      <c r="B7" s="29" t="s">
        <v>212</v>
      </c>
      <c r="C7" s="29">
        <v>1</v>
      </c>
      <c r="D7" s="29" t="s">
        <v>217</v>
      </c>
      <c r="E7" s="38">
        <v>0.99</v>
      </c>
      <c r="F7" s="38">
        <f>(E7/6)/30</f>
        <v>0.0055000000000000005</v>
      </c>
      <c r="G7" s="48"/>
      <c r="H7" s="41" t="s">
        <v>35</v>
      </c>
      <c r="I7" s="41" t="s">
        <v>376</v>
      </c>
      <c r="J7" s="46"/>
    </row>
    <row r="8" spans="1:10" ht="15">
      <c r="A8" s="144" t="s">
        <v>218</v>
      </c>
      <c r="B8" s="144"/>
      <c r="C8" s="144"/>
      <c r="D8" s="144"/>
      <c r="E8" s="144"/>
      <c r="F8" s="40">
        <f>SUM(F4:F7)</f>
        <v>1.1828510399999999</v>
      </c>
      <c r="H8" s="42" t="s">
        <v>31</v>
      </c>
      <c r="I8" s="43">
        <f>F5/2+(F18/4)</f>
        <v>0.13904533333333333</v>
      </c>
      <c r="J8" s="44"/>
    </row>
    <row r="9" spans="8:10" ht="15">
      <c r="H9" s="42" t="s">
        <v>32</v>
      </c>
      <c r="I9" s="43">
        <f>(F4/2)+(F6/2)+(F7/2)+(F18/4)</f>
        <v>0.4616708533333333</v>
      </c>
      <c r="J9" s="44"/>
    </row>
    <row r="10" spans="1:10" ht="15">
      <c r="A10" s="144" t="s">
        <v>220</v>
      </c>
      <c r="B10" s="144"/>
      <c r="C10" s="144"/>
      <c r="D10" s="144"/>
      <c r="E10" s="144"/>
      <c r="F10" s="144"/>
      <c r="H10" s="42" t="s">
        <v>33</v>
      </c>
      <c r="I10" s="43">
        <f>(F4/2)+(F7/2)+(F18/4)</f>
        <v>0.3563953333333333</v>
      </c>
      <c r="J10" s="44"/>
    </row>
    <row r="11" spans="1:10" ht="15">
      <c r="A11" s="144" t="s">
        <v>35</v>
      </c>
      <c r="B11" s="144" t="s">
        <v>206</v>
      </c>
      <c r="C11" s="144" t="s">
        <v>2</v>
      </c>
      <c r="D11" s="144"/>
      <c r="E11" s="144" t="s">
        <v>207</v>
      </c>
      <c r="F11" s="144" t="s">
        <v>208</v>
      </c>
      <c r="H11" s="42" t="s">
        <v>82</v>
      </c>
      <c r="I11" s="43">
        <f>(F5/2)+(F6/2)+(F18/4)</f>
        <v>0.2443208533333333</v>
      </c>
      <c r="J11" s="44"/>
    </row>
    <row r="12" spans="1:10" ht="15">
      <c r="A12" s="144"/>
      <c r="B12" s="144"/>
      <c r="C12" s="30" t="s">
        <v>209</v>
      </c>
      <c r="D12" s="30" t="s">
        <v>210</v>
      </c>
      <c r="E12" s="144"/>
      <c r="F12" s="144"/>
      <c r="H12" s="41" t="s">
        <v>218</v>
      </c>
      <c r="I12" s="45">
        <f>SUM(I8:I11)</f>
        <v>1.2014323733333332</v>
      </c>
      <c r="J12" s="46"/>
    </row>
    <row r="13" spans="1:10" ht="30">
      <c r="A13" s="29" t="s">
        <v>221</v>
      </c>
      <c r="B13" s="29" t="s">
        <v>222</v>
      </c>
      <c r="C13" s="29">
        <v>2</v>
      </c>
      <c r="D13" s="29" t="s">
        <v>223</v>
      </c>
      <c r="E13" s="38">
        <v>82.45</v>
      </c>
      <c r="F13" s="38">
        <f>C13*E13</f>
        <v>164.9</v>
      </c>
      <c r="J13" s="8"/>
    </row>
    <row r="14" spans="1:6" ht="15">
      <c r="A14" s="29" t="s">
        <v>224</v>
      </c>
      <c r="B14" s="29" t="s">
        <v>375</v>
      </c>
      <c r="C14" s="29">
        <v>12</v>
      </c>
      <c r="D14" s="29" t="s">
        <v>213</v>
      </c>
      <c r="E14" s="38">
        <v>0.29</v>
      </c>
      <c r="F14" s="38">
        <f>(C14*E14)*30</f>
        <v>104.39999999999999</v>
      </c>
    </row>
    <row r="15" spans="1:6" ht="15">
      <c r="A15" s="29" t="s">
        <v>225</v>
      </c>
      <c r="B15" s="29" t="s">
        <v>222</v>
      </c>
      <c r="C15" s="29">
        <v>2</v>
      </c>
      <c r="D15" s="29" t="s">
        <v>223</v>
      </c>
      <c r="E15" s="38">
        <v>14.52</v>
      </c>
      <c r="F15" s="38">
        <f>C15*E15</f>
        <v>29.04</v>
      </c>
    </row>
    <row r="16" spans="1:6" ht="15">
      <c r="A16" s="29" t="s">
        <v>226</v>
      </c>
      <c r="B16" s="29" t="s">
        <v>222</v>
      </c>
      <c r="C16" s="29">
        <v>2</v>
      </c>
      <c r="D16" s="29" t="s">
        <v>223</v>
      </c>
      <c r="E16" s="38">
        <v>89.9</v>
      </c>
      <c r="F16" s="38">
        <f>C16*E16</f>
        <v>179.8</v>
      </c>
    </row>
    <row r="17" spans="1:6" ht="30">
      <c r="A17" s="29" t="s">
        <v>227</v>
      </c>
      <c r="B17" s="29" t="s">
        <v>212</v>
      </c>
      <c r="C17" s="29">
        <v>14</v>
      </c>
      <c r="D17" s="29" t="s">
        <v>213</v>
      </c>
      <c r="E17" s="38">
        <f>18.23/100</f>
        <v>0.18230000000000002</v>
      </c>
      <c r="F17" s="38">
        <f>C17*E17*30</f>
        <v>76.566</v>
      </c>
    </row>
    <row r="18" spans="1:6" ht="15">
      <c r="A18" s="144" t="s">
        <v>218</v>
      </c>
      <c r="B18" s="144"/>
      <c r="C18" s="144"/>
      <c r="D18" s="144"/>
      <c r="E18" s="144"/>
      <c r="F18" s="40">
        <f>557.44/1000/30</f>
        <v>0.018581333333333335</v>
      </c>
    </row>
    <row r="19" spans="1:6" ht="15">
      <c r="A19" s="166" t="s">
        <v>228</v>
      </c>
      <c r="B19" s="166"/>
      <c r="C19" s="166"/>
      <c r="D19" s="166"/>
      <c r="E19" s="166"/>
      <c r="F19" s="166"/>
    </row>
  </sheetData>
  <sheetProtection/>
  <mergeCells count="15">
    <mergeCell ref="A18:E18"/>
    <mergeCell ref="A19:F19"/>
    <mergeCell ref="A1:F1"/>
    <mergeCell ref="A10:F10"/>
    <mergeCell ref="A11:A12"/>
    <mergeCell ref="B11:B12"/>
    <mergeCell ref="C11:D11"/>
    <mergeCell ref="E11:E12"/>
    <mergeCell ref="F11:F12"/>
    <mergeCell ref="A2:A3"/>
    <mergeCell ref="B2:B3"/>
    <mergeCell ref="C2:D2"/>
    <mergeCell ref="E2:E3"/>
    <mergeCell ref="F2:F3"/>
    <mergeCell ref="A8:E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48.00390625" style="5" customWidth="1"/>
    <col min="2" max="2" width="13.7109375" style="5" bestFit="1" customWidth="1"/>
    <col min="3" max="3" width="24.7109375" style="5" bestFit="1" customWidth="1"/>
    <col min="4" max="16384" width="9.140625" style="5" customWidth="1"/>
  </cols>
  <sheetData>
    <row r="1" spans="1:2" ht="15">
      <c r="A1" s="144" t="s">
        <v>48</v>
      </c>
      <c r="B1" s="144"/>
    </row>
    <row r="2" spans="1:2" ht="15">
      <c r="A2" s="98" t="s">
        <v>43</v>
      </c>
      <c r="B2" s="126">
        <f>'Planilha de Composição - Resumo'!B18</f>
        <v>17.669894540577125</v>
      </c>
    </row>
    <row r="3" spans="1:2" ht="30">
      <c r="A3" s="98" t="s">
        <v>231</v>
      </c>
      <c r="B3" s="125">
        <v>0.06</v>
      </c>
    </row>
    <row r="4" spans="1:2" ht="15">
      <c r="A4" s="101" t="s">
        <v>232</v>
      </c>
      <c r="B4" s="127">
        <f>B2*B3</f>
        <v>1.0601936724346275</v>
      </c>
    </row>
    <row r="6" spans="1:2" ht="15">
      <c r="A6" s="144" t="s">
        <v>49</v>
      </c>
      <c r="B6" s="144"/>
    </row>
    <row r="7" spans="1:2" ht="30">
      <c r="A7" s="98" t="s">
        <v>233</v>
      </c>
      <c r="B7" s="98">
        <v>0.24</v>
      </c>
    </row>
    <row r="8" spans="1:2" ht="15">
      <c r="A8" s="98" t="s">
        <v>234</v>
      </c>
      <c r="B8" s="98" t="s">
        <v>235</v>
      </c>
    </row>
    <row r="9" spans="1:2" ht="15">
      <c r="A9" s="98" t="s">
        <v>236</v>
      </c>
      <c r="B9" s="38">
        <v>22</v>
      </c>
    </row>
    <row r="10" spans="1:2" ht="15">
      <c r="A10" s="98" t="s">
        <v>237</v>
      </c>
      <c r="B10" s="38">
        <v>15840</v>
      </c>
    </row>
    <row r="11" spans="1:2" ht="15">
      <c r="A11" s="101" t="s">
        <v>238</v>
      </c>
      <c r="B11" s="40">
        <v>0.176</v>
      </c>
    </row>
    <row r="13" spans="1:2" ht="15">
      <c r="A13" s="144" t="s">
        <v>50</v>
      </c>
      <c r="B13" s="144"/>
    </row>
    <row r="14" spans="1:2" ht="15">
      <c r="A14" s="98" t="s">
        <v>239</v>
      </c>
      <c r="B14" s="38">
        <v>2.26</v>
      </c>
    </row>
    <row r="15" spans="1:2" ht="15">
      <c r="A15" s="98" t="s">
        <v>234</v>
      </c>
      <c r="B15" s="98">
        <v>720</v>
      </c>
    </row>
    <row r="16" spans="1:2" ht="15">
      <c r="A16" s="101" t="s">
        <v>240</v>
      </c>
      <c r="B16" s="40">
        <v>1627.2</v>
      </c>
    </row>
    <row r="17" spans="1:2" ht="30">
      <c r="A17" s="101" t="s">
        <v>241</v>
      </c>
      <c r="B17" s="40">
        <v>542.4</v>
      </c>
    </row>
    <row r="19" spans="1:2" ht="15">
      <c r="A19" s="144" t="s">
        <v>51</v>
      </c>
      <c r="B19" s="144"/>
    </row>
    <row r="20" spans="1:2" ht="15">
      <c r="A20" s="98" t="s">
        <v>242</v>
      </c>
      <c r="B20" s="98">
        <v>7</v>
      </c>
    </row>
    <row r="21" spans="1:2" ht="15">
      <c r="A21" s="98" t="s">
        <v>36</v>
      </c>
      <c r="B21" s="38">
        <v>406.39</v>
      </c>
    </row>
    <row r="22" spans="1:2" ht="15">
      <c r="A22" s="98" t="s">
        <v>243</v>
      </c>
      <c r="B22" s="38">
        <v>2844.73</v>
      </c>
    </row>
    <row r="23" spans="1:2" ht="30">
      <c r="A23" s="101" t="s">
        <v>244</v>
      </c>
      <c r="B23" s="40">
        <v>94.82</v>
      </c>
    </row>
    <row r="25" spans="1:2" ht="15">
      <c r="A25" s="144" t="s">
        <v>439</v>
      </c>
      <c r="B25" s="144"/>
    </row>
    <row r="26" spans="1:2" ht="15">
      <c r="A26" s="98" t="s">
        <v>245</v>
      </c>
      <c r="B26" s="126">
        <f>Equipamentos!G20</f>
        <v>900436.98</v>
      </c>
    </row>
    <row r="27" spans="1:2" ht="15">
      <c r="A27" s="98" t="s">
        <v>440</v>
      </c>
      <c r="B27" s="40">
        <f>(B26*0.1)/365</f>
        <v>246.69506301369864</v>
      </c>
    </row>
    <row r="28" spans="1:2" ht="15">
      <c r="A28" s="101" t="s">
        <v>238</v>
      </c>
      <c r="B28" s="128">
        <f>B27/3000</f>
        <v>0.08223168767123289</v>
      </c>
    </row>
    <row r="29" spans="1:2" ht="15">
      <c r="A29" s="102" t="s">
        <v>441</v>
      </c>
      <c r="B29" s="129">
        <f>B28/4</f>
        <v>0.02055792191780822</v>
      </c>
    </row>
    <row r="31" spans="1:2" ht="15">
      <c r="A31" s="144" t="s">
        <v>54</v>
      </c>
      <c r="B31" s="144"/>
    </row>
    <row r="32" spans="1:3" ht="15">
      <c r="A32" s="98" t="s">
        <v>444</v>
      </c>
      <c r="B32" s="98">
        <v>25</v>
      </c>
      <c r="C32" s="5" t="s">
        <v>442</v>
      </c>
    </row>
    <row r="33" spans="1:2" ht="15">
      <c r="A33" s="98" t="s">
        <v>443</v>
      </c>
      <c r="B33" s="98">
        <f>B32*30</f>
        <v>750</v>
      </c>
    </row>
    <row r="34" spans="1:2" ht="15">
      <c r="A34" s="98" t="s">
        <v>445</v>
      </c>
      <c r="B34" s="40">
        <v>8</v>
      </c>
    </row>
    <row r="35" spans="1:2" ht="15">
      <c r="A35" s="98" t="s">
        <v>446</v>
      </c>
      <c r="B35" s="40">
        <f>B33*B34/1000</f>
        <v>6</v>
      </c>
    </row>
    <row r="36" spans="1:2" ht="15">
      <c r="A36" s="98" t="s">
        <v>447</v>
      </c>
      <c r="B36" s="128">
        <f>B35/30</f>
        <v>0.2</v>
      </c>
    </row>
    <row r="37" spans="1:2" ht="15">
      <c r="A37" s="101" t="s">
        <v>441</v>
      </c>
      <c r="B37" s="130">
        <f>B36/4</f>
        <v>0.05</v>
      </c>
    </row>
    <row r="39" spans="1:2" ht="15">
      <c r="A39" s="144" t="s">
        <v>56</v>
      </c>
      <c r="B39" s="144"/>
    </row>
    <row r="40" spans="1:2" ht="15">
      <c r="A40" s="98" t="s">
        <v>248</v>
      </c>
      <c r="B40" s="98"/>
    </row>
    <row r="41" spans="1:2" ht="15">
      <c r="A41" s="98" t="s">
        <v>249</v>
      </c>
      <c r="B41" s="98"/>
    </row>
    <row r="42" spans="1:2" ht="15">
      <c r="A42" s="98" t="s">
        <v>250</v>
      </c>
      <c r="B42" s="98"/>
    </row>
    <row r="43" spans="1:2" ht="15">
      <c r="A43" s="98" t="s">
        <v>247</v>
      </c>
      <c r="B43" s="98"/>
    </row>
    <row r="44" spans="1:2" ht="15">
      <c r="A44" s="101" t="s">
        <v>238</v>
      </c>
      <c r="B44" s="98" t="s">
        <v>246</v>
      </c>
    </row>
    <row r="46" spans="1:2" ht="15">
      <c r="A46" s="144" t="s">
        <v>55</v>
      </c>
      <c r="B46" s="144"/>
    </row>
    <row r="47" spans="1:2" ht="15">
      <c r="A47" s="98" t="s">
        <v>251</v>
      </c>
      <c r="B47" s="98">
        <v>0.05</v>
      </c>
    </row>
    <row r="48" spans="1:2" ht="15">
      <c r="A48" s="98" t="s">
        <v>252</v>
      </c>
      <c r="B48" s="38">
        <v>9.18</v>
      </c>
    </row>
    <row r="49" spans="1:2" ht="15">
      <c r="A49" s="101" t="s">
        <v>238</v>
      </c>
      <c r="B49" s="40">
        <v>0.46</v>
      </c>
    </row>
    <row r="51" ht="30">
      <c r="A51" s="1" t="s">
        <v>413</v>
      </c>
    </row>
    <row r="52" ht="30">
      <c r="A52" s="1" t="s">
        <v>231</v>
      </c>
    </row>
    <row r="54" ht="15">
      <c r="A54" s="5" t="s">
        <v>49</v>
      </c>
    </row>
  </sheetData>
  <sheetProtection/>
  <mergeCells count="8">
    <mergeCell ref="A31:B31"/>
    <mergeCell ref="A39:B39"/>
    <mergeCell ref="A46:B46"/>
    <mergeCell ref="A1:B1"/>
    <mergeCell ref="A6:B6"/>
    <mergeCell ref="A13:B13"/>
    <mergeCell ref="A19:B19"/>
    <mergeCell ref="A25:B2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5.7109375" style="28" customWidth="1"/>
    <col min="2" max="2" width="11.57421875" style="28" customWidth="1"/>
    <col min="3" max="3" width="11.28125" style="28" bestFit="1" customWidth="1"/>
    <col min="4" max="4" width="12.28125" style="28" bestFit="1" customWidth="1"/>
    <col min="5" max="5" width="9.140625" style="28" customWidth="1"/>
    <col min="6" max="6" width="42.8515625" style="28" bestFit="1" customWidth="1"/>
    <col min="7" max="7" width="14.28125" style="28" bestFit="1" customWidth="1"/>
    <col min="8" max="9" width="9.140625" style="28" customWidth="1"/>
    <col min="10" max="10" width="11.28125" style="28" bestFit="1" customWidth="1"/>
    <col min="11" max="16384" width="9.140625" style="28" customWidth="1"/>
  </cols>
  <sheetData>
    <row r="1" spans="1:4" ht="15">
      <c r="A1" s="167" t="s">
        <v>52</v>
      </c>
      <c r="B1" s="167"/>
      <c r="C1" s="167"/>
      <c r="D1" s="167"/>
    </row>
    <row r="2" spans="1:4" ht="15">
      <c r="A2" s="168" t="s">
        <v>253</v>
      </c>
      <c r="B2" s="168"/>
      <c r="C2" s="168"/>
      <c r="D2" s="168"/>
    </row>
    <row r="4" spans="1:4" ht="15">
      <c r="A4" s="169" t="s">
        <v>254</v>
      </c>
      <c r="B4" s="169"/>
      <c r="C4" s="169"/>
      <c r="D4" s="169"/>
    </row>
    <row r="5" spans="1:7" ht="30">
      <c r="A5" s="36" t="s">
        <v>35</v>
      </c>
      <c r="B5" s="36" t="s">
        <v>2</v>
      </c>
      <c r="C5" s="36" t="s">
        <v>255</v>
      </c>
      <c r="D5" s="36" t="s">
        <v>256</v>
      </c>
      <c r="F5" s="167" t="s">
        <v>403</v>
      </c>
      <c r="G5" s="167"/>
    </row>
    <row r="6" spans="1:9" ht="30.75" customHeight="1">
      <c r="A6" s="55" t="s">
        <v>257</v>
      </c>
      <c r="B6" s="55">
        <v>2</v>
      </c>
      <c r="C6" s="31">
        <v>1508.64</v>
      </c>
      <c r="D6" s="31">
        <v>3017.28</v>
      </c>
      <c r="F6" s="63" t="s">
        <v>254</v>
      </c>
      <c r="G6" s="67">
        <v>13153.83</v>
      </c>
      <c r="H6" s="62"/>
      <c r="I6" s="62"/>
    </row>
    <row r="7" spans="1:7" ht="30">
      <c r="A7" s="55" t="s">
        <v>258</v>
      </c>
      <c r="B7" s="55">
        <v>2</v>
      </c>
      <c r="C7" s="31">
        <v>1877.15</v>
      </c>
      <c r="D7" s="31">
        <v>3754.3</v>
      </c>
      <c r="F7" s="64" t="s">
        <v>262</v>
      </c>
      <c r="G7" s="68">
        <v>37093.77</v>
      </c>
    </row>
    <row r="8" spans="1:7" ht="15">
      <c r="A8" s="55" t="s">
        <v>259</v>
      </c>
      <c r="B8" s="55">
        <v>2</v>
      </c>
      <c r="C8" s="31">
        <v>1481.26</v>
      </c>
      <c r="D8" s="31">
        <v>2962.52</v>
      </c>
      <c r="F8" s="64" t="s">
        <v>271</v>
      </c>
      <c r="G8" s="68">
        <v>188198.07</v>
      </c>
    </row>
    <row r="9" spans="1:7" ht="15">
      <c r="A9" s="55" t="s">
        <v>260</v>
      </c>
      <c r="B9" s="55">
        <v>2</v>
      </c>
      <c r="C9" s="31">
        <v>1709.86</v>
      </c>
      <c r="D9" s="31">
        <v>3419.73</v>
      </c>
      <c r="F9" s="65" t="s">
        <v>277</v>
      </c>
      <c r="G9" s="69">
        <v>22192.9</v>
      </c>
    </row>
    <row r="10" spans="1:7" ht="15">
      <c r="A10" s="169" t="s">
        <v>261</v>
      </c>
      <c r="B10" s="169"/>
      <c r="C10" s="169"/>
      <c r="D10" s="32">
        <v>13153.83</v>
      </c>
      <c r="F10" s="65" t="s">
        <v>283</v>
      </c>
      <c r="G10" s="69">
        <v>51676.62</v>
      </c>
    </row>
    <row r="11" spans="6:7" ht="15">
      <c r="F11" s="65" t="s">
        <v>290</v>
      </c>
      <c r="G11" s="69">
        <v>25072.07</v>
      </c>
    </row>
    <row r="12" spans="1:7" ht="15">
      <c r="A12" s="169" t="s">
        <v>262</v>
      </c>
      <c r="B12" s="169"/>
      <c r="C12" s="169"/>
      <c r="D12" s="169"/>
      <c r="F12" s="65" t="s">
        <v>293</v>
      </c>
      <c r="G12" s="69">
        <v>85566.8</v>
      </c>
    </row>
    <row r="13" spans="1:7" ht="30">
      <c r="A13" s="36" t="s">
        <v>35</v>
      </c>
      <c r="B13" s="36" t="s">
        <v>2</v>
      </c>
      <c r="C13" s="36" t="s">
        <v>255</v>
      </c>
      <c r="D13" s="36" t="s">
        <v>256</v>
      </c>
      <c r="F13" s="65" t="s">
        <v>297</v>
      </c>
      <c r="G13" s="69">
        <v>278866.4</v>
      </c>
    </row>
    <row r="14" spans="1:7" ht="45">
      <c r="A14" s="55" t="s">
        <v>263</v>
      </c>
      <c r="B14" s="55">
        <v>12</v>
      </c>
      <c r="C14" s="31">
        <v>1711.01</v>
      </c>
      <c r="D14" s="31">
        <v>20532.13</v>
      </c>
      <c r="F14" s="65" t="s">
        <v>309</v>
      </c>
      <c r="G14" s="69">
        <v>14559.8</v>
      </c>
    </row>
    <row r="15" spans="1:7" ht="15">
      <c r="A15" s="55" t="s">
        <v>264</v>
      </c>
      <c r="B15" s="55">
        <v>2</v>
      </c>
      <c r="C15" s="31">
        <v>441.49</v>
      </c>
      <c r="D15" s="31">
        <v>882.97</v>
      </c>
      <c r="F15" s="65" t="s">
        <v>312</v>
      </c>
      <c r="G15" s="69">
        <v>66282.18</v>
      </c>
    </row>
    <row r="16" spans="1:7" ht="15">
      <c r="A16" s="55" t="s">
        <v>265</v>
      </c>
      <c r="B16" s="55">
        <v>2</v>
      </c>
      <c r="C16" s="31">
        <v>315.93</v>
      </c>
      <c r="D16" s="31">
        <v>631.86</v>
      </c>
      <c r="F16" s="65" t="s">
        <v>316</v>
      </c>
      <c r="G16" s="69">
        <v>72869.5</v>
      </c>
    </row>
    <row r="17" spans="1:7" ht="30">
      <c r="A17" s="55" t="s">
        <v>266</v>
      </c>
      <c r="B17" s="55">
        <v>2</v>
      </c>
      <c r="C17" s="31">
        <v>1174.24</v>
      </c>
      <c r="D17" s="31">
        <v>2348.48</v>
      </c>
      <c r="F17" s="65" t="s">
        <v>319</v>
      </c>
      <c r="G17" s="69">
        <v>2807.79</v>
      </c>
    </row>
    <row r="18" spans="1:7" ht="30">
      <c r="A18" s="55" t="s">
        <v>267</v>
      </c>
      <c r="B18" s="55">
        <v>2</v>
      </c>
      <c r="C18" s="31">
        <v>713.6</v>
      </c>
      <c r="D18" s="31">
        <v>1427.21</v>
      </c>
      <c r="F18" s="65" t="s">
        <v>321</v>
      </c>
      <c r="G18" s="69">
        <v>5253.32</v>
      </c>
    </row>
    <row r="19" spans="1:7" ht="15">
      <c r="A19" s="55" t="s">
        <v>268</v>
      </c>
      <c r="B19" s="55">
        <v>1</v>
      </c>
      <c r="C19" s="31">
        <v>184.51</v>
      </c>
      <c r="D19" s="31">
        <v>184.51</v>
      </c>
      <c r="F19" s="65" t="s">
        <v>53</v>
      </c>
      <c r="G19" s="69">
        <v>36843.93</v>
      </c>
    </row>
    <row r="20" spans="1:7" ht="15">
      <c r="A20" s="55" t="s">
        <v>269</v>
      </c>
      <c r="B20" s="55">
        <v>20</v>
      </c>
      <c r="C20" s="31">
        <v>75.02</v>
      </c>
      <c r="D20" s="31">
        <v>1500.48</v>
      </c>
      <c r="F20" s="66" t="s">
        <v>261</v>
      </c>
      <c r="G20" s="70">
        <f>SUM(G6:G19)</f>
        <v>900436.98</v>
      </c>
    </row>
    <row r="21" spans="1:4" ht="90">
      <c r="A21" s="55" t="s">
        <v>270</v>
      </c>
      <c r="B21" s="55">
        <v>4</v>
      </c>
      <c r="C21" s="31">
        <v>2396.53</v>
      </c>
      <c r="D21" s="31">
        <v>9586.13</v>
      </c>
    </row>
    <row r="22" spans="1:4" ht="15">
      <c r="A22" s="169" t="s">
        <v>261</v>
      </c>
      <c r="B22" s="169"/>
      <c r="C22" s="169"/>
      <c r="D22" s="32">
        <v>37093.77</v>
      </c>
    </row>
    <row r="24" spans="1:4" ht="15">
      <c r="A24" s="169" t="s">
        <v>271</v>
      </c>
      <c r="B24" s="169"/>
      <c r="C24" s="169"/>
      <c r="D24" s="169"/>
    </row>
    <row r="25" spans="1:4" ht="30">
      <c r="A25" s="36" t="s">
        <v>35</v>
      </c>
      <c r="B25" s="36" t="s">
        <v>2</v>
      </c>
      <c r="C25" s="36" t="s">
        <v>255</v>
      </c>
      <c r="D25" s="36" t="s">
        <v>256</v>
      </c>
    </row>
    <row r="26" spans="1:4" ht="30">
      <c r="A26" s="55" t="s">
        <v>272</v>
      </c>
      <c r="B26" s="55">
        <v>8</v>
      </c>
      <c r="C26" s="31">
        <v>2973.35</v>
      </c>
      <c r="D26" s="31">
        <v>23786.82</v>
      </c>
    </row>
    <row r="27" spans="1:4" ht="15">
      <c r="A27" s="55" t="s">
        <v>273</v>
      </c>
      <c r="B27" s="55">
        <v>1</v>
      </c>
      <c r="C27" s="31">
        <v>39887.91</v>
      </c>
      <c r="D27" s="31">
        <v>39887.91</v>
      </c>
    </row>
    <row r="28" spans="1:4" ht="30">
      <c r="A28" s="55" t="s">
        <v>272</v>
      </c>
      <c r="B28" s="55">
        <v>6</v>
      </c>
      <c r="C28" s="31">
        <v>2973.35</v>
      </c>
      <c r="D28" s="31">
        <v>17840.1</v>
      </c>
    </row>
    <row r="29" spans="1:4" ht="15">
      <c r="A29" s="55" t="s">
        <v>274</v>
      </c>
      <c r="B29" s="55">
        <v>1</v>
      </c>
      <c r="C29" s="31">
        <v>40071.15</v>
      </c>
      <c r="D29" s="31">
        <v>40071.15</v>
      </c>
    </row>
    <row r="30" spans="1:4" ht="30">
      <c r="A30" s="55" t="s">
        <v>272</v>
      </c>
      <c r="B30" s="55">
        <v>5</v>
      </c>
      <c r="C30" s="31">
        <v>2973.35</v>
      </c>
      <c r="D30" s="31">
        <v>14866.76</v>
      </c>
    </row>
    <row r="31" spans="1:4" ht="15">
      <c r="A31" s="55" t="s">
        <v>275</v>
      </c>
      <c r="B31" s="55">
        <v>1</v>
      </c>
      <c r="C31" s="31">
        <v>30404.34</v>
      </c>
      <c r="D31" s="31">
        <v>30404.34</v>
      </c>
    </row>
    <row r="32" spans="1:4" ht="15">
      <c r="A32" s="55" t="s">
        <v>276</v>
      </c>
      <c r="B32" s="55">
        <v>1</v>
      </c>
      <c r="C32" s="31">
        <v>21340.99</v>
      </c>
      <c r="D32" s="31">
        <v>21340.99</v>
      </c>
    </row>
    <row r="33" spans="1:4" ht="15">
      <c r="A33" s="169" t="s">
        <v>261</v>
      </c>
      <c r="B33" s="169"/>
      <c r="C33" s="169"/>
      <c r="D33" s="32">
        <v>188198.07</v>
      </c>
    </row>
    <row r="35" spans="1:4" ht="15">
      <c r="A35" s="169" t="s">
        <v>277</v>
      </c>
      <c r="B35" s="169"/>
      <c r="C35" s="169"/>
      <c r="D35" s="169"/>
    </row>
    <row r="36" spans="1:4" ht="30">
      <c r="A36" s="36" t="s">
        <v>35</v>
      </c>
      <c r="B36" s="36" t="s">
        <v>2</v>
      </c>
      <c r="C36" s="36" t="s">
        <v>255</v>
      </c>
      <c r="D36" s="36" t="s">
        <v>256</v>
      </c>
    </row>
    <row r="37" spans="1:4" ht="30">
      <c r="A37" s="55" t="s">
        <v>278</v>
      </c>
      <c r="B37" s="55">
        <v>1</v>
      </c>
      <c r="C37" s="31">
        <v>3782.31</v>
      </c>
      <c r="D37" s="31">
        <v>3782.31</v>
      </c>
    </row>
    <row r="38" spans="1:4" ht="30">
      <c r="A38" s="55" t="s">
        <v>279</v>
      </c>
      <c r="B38" s="55">
        <v>2</v>
      </c>
      <c r="C38" s="31">
        <v>1073.82</v>
      </c>
      <c r="D38" s="31">
        <v>2147.64</v>
      </c>
    </row>
    <row r="39" spans="1:4" ht="45">
      <c r="A39" s="55" t="s">
        <v>280</v>
      </c>
      <c r="B39" s="55">
        <v>1</v>
      </c>
      <c r="C39" s="31">
        <v>5596.86</v>
      </c>
      <c r="D39" s="31">
        <v>5596.86</v>
      </c>
    </row>
    <row r="40" spans="1:4" ht="15">
      <c r="A40" s="55" t="s">
        <v>281</v>
      </c>
      <c r="B40" s="55">
        <v>1</v>
      </c>
      <c r="C40" s="31">
        <v>3517.02</v>
      </c>
      <c r="D40" s="31">
        <v>3517.02</v>
      </c>
    </row>
    <row r="41" spans="1:4" ht="60">
      <c r="A41" s="55" t="s">
        <v>282</v>
      </c>
      <c r="B41" s="55">
        <v>2</v>
      </c>
      <c r="C41" s="31">
        <v>3574.54</v>
      </c>
      <c r="D41" s="31">
        <v>7149.07</v>
      </c>
    </row>
    <row r="42" spans="1:4" ht="15">
      <c r="A42" s="169" t="s">
        <v>261</v>
      </c>
      <c r="B42" s="169"/>
      <c r="C42" s="169"/>
      <c r="D42" s="32">
        <v>22192.9</v>
      </c>
    </row>
    <row r="44" spans="1:4" ht="15">
      <c r="A44" s="169" t="s">
        <v>283</v>
      </c>
      <c r="B44" s="169"/>
      <c r="C44" s="169"/>
      <c r="D44" s="169"/>
    </row>
    <row r="45" spans="1:4" ht="30">
      <c r="A45" s="36" t="s">
        <v>35</v>
      </c>
      <c r="B45" s="36" t="s">
        <v>2</v>
      </c>
      <c r="C45" s="36" t="s">
        <v>255</v>
      </c>
      <c r="D45" s="36" t="s">
        <v>256</v>
      </c>
    </row>
    <row r="46" spans="1:4" ht="75">
      <c r="A46" s="55" t="s">
        <v>284</v>
      </c>
      <c r="B46" s="55">
        <v>1</v>
      </c>
      <c r="C46" s="31">
        <v>2850.95</v>
      </c>
      <c r="D46" s="31">
        <v>2850.95</v>
      </c>
    </row>
    <row r="47" spans="1:4" ht="30">
      <c r="A47" s="55" t="s">
        <v>285</v>
      </c>
      <c r="B47" s="55">
        <v>1</v>
      </c>
      <c r="C47" s="31">
        <v>3782.31</v>
      </c>
      <c r="D47" s="31">
        <v>3782.31</v>
      </c>
    </row>
    <row r="48" spans="1:4" ht="60">
      <c r="A48" s="55" t="s">
        <v>286</v>
      </c>
      <c r="B48" s="55">
        <v>1</v>
      </c>
      <c r="C48" s="31">
        <v>6027.54</v>
      </c>
      <c r="D48" s="31">
        <v>6027.54</v>
      </c>
    </row>
    <row r="49" spans="1:4" ht="30">
      <c r="A49" s="55" t="s">
        <v>287</v>
      </c>
      <c r="B49" s="55">
        <v>1</v>
      </c>
      <c r="C49" s="31">
        <v>26786.6</v>
      </c>
      <c r="D49" s="31">
        <v>26786.6</v>
      </c>
    </row>
    <row r="50" spans="1:4" ht="15">
      <c r="A50" s="55" t="s">
        <v>288</v>
      </c>
      <c r="B50" s="55">
        <v>1</v>
      </c>
      <c r="C50" s="31">
        <v>4130.07</v>
      </c>
      <c r="D50" s="31">
        <v>4130.07</v>
      </c>
    </row>
    <row r="51" spans="1:4" ht="15">
      <c r="A51" s="55" t="s">
        <v>289</v>
      </c>
      <c r="B51" s="55">
        <v>1</v>
      </c>
      <c r="C51" s="31">
        <v>8099.15</v>
      </c>
      <c r="D51" s="31">
        <v>8099.15</v>
      </c>
    </row>
    <row r="52" spans="1:4" ht="15">
      <c r="A52" s="169" t="s">
        <v>261</v>
      </c>
      <c r="B52" s="169"/>
      <c r="C52" s="169"/>
      <c r="D52" s="32">
        <v>51676.62</v>
      </c>
    </row>
    <row r="54" spans="1:4" ht="15">
      <c r="A54" s="169" t="s">
        <v>290</v>
      </c>
      <c r="B54" s="169"/>
      <c r="C54" s="169"/>
      <c r="D54" s="169"/>
    </row>
    <row r="55" spans="1:4" ht="30">
      <c r="A55" s="36" t="s">
        <v>35</v>
      </c>
      <c r="B55" s="36" t="s">
        <v>2</v>
      </c>
      <c r="C55" s="36" t="s">
        <v>255</v>
      </c>
      <c r="D55" s="36" t="s">
        <v>256</v>
      </c>
    </row>
    <row r="56" spans="1:4" ht="30">
      <c r="A56" s="55" t="s">
        <v>291</v>
      </c>
      <c r="B56" s="55">
        <v>2</v>
      </c>
      <c r="C56" s="31">
        <v>1389.99</v>
      </c>
      <c r="D56" s="31">
        <v>2779.99</v>
      </c>
    </row>
    <row r="57" spans="1:4" ht="105">
      <c r="A57" s="55" t="s">
        <v>292</v>
      </c>
      <c r="B57" s="55">
        <v>4</v>
      </c>
      <c r="C57" s="31">
        <v>5573.02</v>
      </c>
      <c r="D57" s="31">
        <v>22292.08</v>
      </c>
    </row>
    <row r="58" spans="1:4" ht="15">
      <c r="A58" s="169" t="s">
        <v>261</v>
      </c>
      <c r="B58" s="169"/>
      <c r="C58" s="169"/>
      <c r="D58" s="32">
        <v>25072.07</v>
      </c>
    </row>
    <row r="60" spans="1:4" ht="15">
      <c r="A60" s="169" t="s">
        <v>293</v>
      </c>
      <c r="B60" s="169"/>
      <c r="C60" s="169"/>
      <c r="D60" s="169"/>
    </row>
    <row r="61" spans="1:4" ht="30">
      <c r="A61" s="36" t="s">
        <v>35</v>
      </c>
      <c r="B61" s="36" t="s">
        <v>2</v>
      </c>
      <c r="C61" s="36" t="s">
        <v>255</v>
      </c>
      <c r="D61" s="36" t="s">
        <v>256</v>
      </c>
    </row>
    <row r="62" spans="1:4" ht="30">
      <c r="A62" s="55" t="s">
        <v>294</v>
      </c>
      <c r="B62" s="55">
        <v>1</v>
      </c>
      <c r="C62" s="31">
        <v>3123.47</v>
      </c>
      <c r="D62" s="31">
        <v>3123.47</v>
      </c>
    </row>
    <row r="63" spans="1:4" ht="30">
      <c r="A63" s="55" t="s">
        <v>295</v>
      </c>
      <c r="B63" s="55">
        <v>1</v>
      </c>
      <c r="C63" s="31">
        <v>3344.88</v>
      </c>
      <c r="D63" s="31">
        <v>3344.88</v>
      </c>
    </row>
    <row r="64" spans="1:4" ht="60">
      <c r="A64" s="55" t="s">
        <v>296</v>
      </c>
      <c r="B64" s="55">
        <v>1</v>
      </c>
      <c r="C64" s="31">
        <v>79098.45</v>
      </c>
      <c r="D64" s="31">
        <v>79098.45</v>
      </c>
    </row>
    <row r="65" spans="1:4" ht="15">
      <c r="A65" s="169" t="s">
        <v>261</v>
      </c>
      <c r="B65" s="169"/>
      <c r="C65" s="169"/>
      <c r="D65" s="32">
        <v>85566.8</v>
      </c>
    </row>
    <row r="67" spans="1:4" ht="15">
      <c r="A67" s="169" t="s">
        <v>297</v>
      </c>
      <c r="B67" s="169"/>
      <c r="C67" s="169"/>
      <c r="D67" s="169"/>
    </row>
    <row r="68" spans="1:4" ht="30">
      <c r="A68" s="36" t="s">
        <v>35</v>
      </c>
      <c r="B68" s="36" t="s">
        <v>2</v>
      </c>
      <c r="C68" s="36" t="s">
        <v>255</v>
      </c>
      <c r="D68" s="36" t="s">
        <v>256</v>
      </c>
    </row>
    <row r="69" spans="1:4" ht="30">
      <c r="A69" s="55" t="s">
        <v>298</v>
      </c>
      <c r="B69" s="55">
        <v>2</v>
      </c>
      <c r="C69" s="31">
        <v>2619.36</v>
      </c>
      <c r="D69" s="31">
        <v>5238.73</v>
      </c>
    </row>
    <row r="70" spans="1:4" ht="30">
      <c r="A70" s="55" t="s">
        <v>299</v>
      </c>
      <c r="B70" s="55">
        <v>2</v>
      </c>
      <c r="C70" s="31">
        <v>239.71</v>
      </c>
      <c r="D70" s="31">
        <v>479.43</v>
      </c>
    </row>
    <row r="71" spans="1:4" ht="30">
      <c r="A71" s="55" t="s">
        <v>300</v>
      </c>
      <c r="B71" s="55">
        <v>1</v>
      </c>
      <c r="C71" s="31">
        <v>11625.31</v>
      </c>
      <c r="D71" s="31">
        <v>11625.31</v>
      </c>
    </row>
    <row r="72" spans="1:4" ht="30">
      <c r="A72" s="55" t="s">
        <v>301</v>
      </c>
      <c r="B72" s="55">
        <v>1</v>
      </c>
      <c r="C72" s="31">
        <v>15870.8</v>
      </c>
      <c r="D72" s="31">
        <v>15870.8</v>
      </c>
    </row>
    <row r="73" spans="1:4" ht="30">
      <c r="A73" s="55" t="s">
        <v>302</v>
      </c>
      <c r="B73" s="55">
        <v>1</v>
      </c>
      <c r="C73" s="31">
        <v>19031.16</v>
      </c>
      <c r="D73" s="31">
        <v>19031.16</v>
      </c>
    </row>
    <row r="74" spans="1:4" ht="30">
      <c r="A74" s="55" t="s">
        <v>303</v>
      </c>
      <c r="B74" s="55">
        <v>4</v>
      </c>
      <c r="C74" s="31">
        <v>23537.61</v>
      </c>
      <c r="D74" s="31">
        <v>94150.43</v>
      </c>
    </row>
    <row r="75" spans="1:4" ht="30">
      <c r="A75" s="55" t="s">
        <v>304</v>
      </c>
      <c r="B75" s="55">
        <v>2</v>
      </c>
      <c r="C75" s="31">
        <v>13011.17</v>
      </c>
      <c r="D75" s="31">
        <v>26022.35</v>
      </c>
    </row>
    <row r="76" spans="1:4" ht="30">
      <c r="A76" s="55" t="s">
        <v>305</v>
      </c>
      <c r="B76" s="55">
        <v>1</v>
      </c>
      <c r="C76" s="31">
        <v>2490.45</v>
      </c>
      <c r="D76" s="31">
        <v>2490.45</v>
      </c>
    </row>
    <row r="77" spans="1:4" ht="30">
      <c r="A77" s="55" t="s">
        <v>306</v>
      </c>
      <c r="B77" s="55">
        <v>1</v>
      </c>
      <c r="C77" s="31">
        <v>1187.78</v>
      </c>
      <c r="D77" s="31">
        <v>1187.78</v>
      </c>
    </row>
    <row r="78" spans="1:4" ht="45">
      <c r="A78" s="55" t="s">
        <v>307</v>
      </c>
      <c r="B78" s="55">
        <v>1</v>
      </c>
      <c r="C78" s="31">
        <v>9058.55</v>
      </c>
      <c r="D78" s="31">
        <v>9058.55</v>
      </c>
    </row>
    <row r="79" spans="1:4" ht="15">
      <c r="A79" s="55" t="s">
        <v>308</v>
      </c>
      <c r="B79" s="55">
        <v>2</v>
      </c>
      <c r="C79" s="31">
        <v>46855.7</v>
      </c>
      <c r="D79" s="31">
        <v>93711.41</v>
      </c>
    </row>
    <row r="80" spans="1:4" ht="15">
      <c r="A80" s="169" t="s">
        <v>261</v>
      </c>
      <c r="B80" s="169"/>
      <c r="C80" s="169"/>
      <c r="D80" s="32">
        <v>278866.4</v>
      </c>
    </row>
    <row r="82" spans="1:4" ht="15">
      <c r="A82" s="169" t="s">
        <v>309</v>
      </c>
      <c r="B82" s="169"/>
      <c r="C82" s="169"/>
      <c r="D82" s="169"/>
    </row>
    <row r="83" spans="1:4" ht="30">
      <c r="A83" s="36" t="s">
        <v>35</v>
      </c>
      <c r="B83" s="36" t="s">
        <v>2</v>
      </c>
      <c r="C83" s="36" t="s">
        <v>255</v>
      </c>
      <c r="D83" s="36" t="s">
        <v>256</v>
      </c>
    </row>
    <row r="84" spans="1:4" ht="30">
      <c r="A84" s="55" t="s">
        <v>310</v>
      </c>
      <c r="B84" s="55">
        <v>2</v>
      </c>
      <c r="C84" s="31">
        <v>3168.82</v>
      </c>
      <c r="D84" s="31">
        <v>6337.65</v>
      </c>
    </row>
    <row r="85" spans="1:4" ht="30">
      <c r="A85" s="55" t="s">
        <v>311</v>
      </c>
      <c r="B85" s="55">
        <v>3</v>
      </c>
      <c r="C85" s="31">
        <v>2740.72</v>
      </c>
      <c r="D85" s="31">
        <v>8222.15</v>
      </c>
    </row>
    <row r="86" spans="1:4" ht="15">
      <c r="A86" s="169" t="s">
        <v>261</v>
      </c>
      <c r="B86" s="169"/>
      <c r="C86" s="169"/>
      <c r="D86" s="32">
        <v>14559.8</v>
      </c>
    </row>
    <row r="88" spans="1:4" ht="15">
      <c r="A88" s="169" t="s">
        <v>312</v>
      </c>
      <c r="B88" s="169"/>
      <c r="C88" s="169"/>
      <c r="D88" s="169"/>
    </row>
    <row r="89" spans="1:4" ht="30">
      <c r="A89" s="36" t="s">
        <v>35</v>
      </c>
      <c r="B89" s="36" t="s">
        <v>2</v>
      </c>
      <c r="C89" s="36" t="s">
        <v>255</v>
      </c>
      <c r="D89" s="36" t="s">
        <v>256</v>
      </c>
    </row>
    <row r="90" spans="1:4" ht="30">
      <c r="A90" s="55" t="s">
        <v>313</v>
      </c>
      <c r="B90" s="55">
        <v>12</v>
      </c>
      <c r="C90" s="31">
        <v>5376.43</v>
      </c>
      <c r="D90" s="31">
        <v>64517.13</v>
      </c>
    </row>
    <row r="91" spans="1:4" ht="30">
      <c r="A91" s="55" t="s">
        <v>314</v>
      </c>
      <c r="B91" s="55">
        <v>2</v>
      </c>
      <c r="C91" s="31">
        <v>740.73</v>
      </c>
      <c r="D91" s="31">
        <v>1481.46</v>
      </c>
    </row>
    <row r="92" spans="1:4" ht="30">
      <c r="A92" s="55" t="s">
        <v>315</v>
      </c>
      <c r="B92" s="55">
        <v>2</v>
      </c>
      <c r="C92" s="31">
        <v>141.8</v>
      </c>
      <c r="D92" s="31">
        <v>283.59</v>
      </c>
    </row>
    <row r="93" spans="1:4" ht="15">
      <c r="A93" s="169" t="s">
        <v>261</v>
      </c>
      <c r="B93" s="169"/>
      <c r="C93" s="169"/>
      <c r="D93" s="32">
        <v>66282.18</v>
      </c>
    </row>
    <row r="95" spans="1:4" ht="15">
      <c r="A95" s="169" t="s">
        <v>316</v>
      </c>
      <c r="B95" s="169"/>
      <c r="C95" s="169"/>
      <c r="D95" s="169"/>
    </row>
    <row r="96" spans="1:4" ht="30">
      <c r="A96" s="36" t="s">
        <v>35</v>
      </c>
      <c r="B96" s="36" t="s">
        <v>2</v>
      </c>
      <c r="C96" s="36" t="s">
        <v>255</v>
      </c>
      <c r="D96" s="36" t="s">
        <v>256</v>
      </c>
    </row>
    <row r="97" spans="1:4" ht="45">
      <c r="A97" s="55" t="s">
        <v>317</v>
      </c>
      <c r="B97" s="55">
        <v>1</v>
      </c>
      <c r="C97" s="31">
        <v>11522.6</v>
      </c>
      <c r="D97" s="31">
        <v>11522.6</v>
      </c>
    </row>
    <row r="98" spans="1:4" ht="45">
      <c r="A98" s="55" t="s">
        <v>318</v>
      </c>
      <c r="B98" s="55">
        <v>2</v>
      </c>
      <c r="C98" s="31">
        <v>30673.45</v>
      </c>
      <c r="D98" s="31">
        <v>61346.9</v>
      </c>
    </row>
    <row r="99" spans="1:4" ht="15">
      <c r="A99" s="169" t="s">
        <v>261</v>
      </c>
      <c r="B99" s="169"/>
      <c r="C99" s="169"/>
      <c r="D99" s="32">
        <v>72869.5</v>
      </c>
    </row>
    <row r="100" ht="15">
      <c r="A100" s="54"/>
    </row>
    <row r="101" spans="1:4" ht="15">
      <c r="A101" s="169" t="s">
        <v>319</v>
      </c>
      <c r="B101" s="169"/>
      <c r="C101" s="169"/>
      <c r="D101" s="169"/>
    </row>
    <row r="102" spans="1:4" ht="30">
      <c r="A102" s="36" t="s">
        <v>35</v>
      </c>
      <c r="B102" s="36" t="s">
        <v>2</v>
      </c>
      <c r="C102" s="36" t="s">
        <v>255</v>
      </c>
      <c r="D102" s="36" t="s">
        <v>256</v>
      </c>
    </row>
    <row r="103" spans="1:4" ht="30">
      <c r="A103" s="55" t="s">
        <v>320</v>
      </c>
      <c r="B103" s="55">
        <v>2</v>
      </c>
      <c r="C103" s="31">
        <v>1403.89</v>
      </c>
      <c r="D103" s="31">
        <v>2807.79</v>
      </c>
    </row>
    <row r="104" spans="1:4" ht="15">
      <c r="A104" s="169" t="s">
        <v>261</v>
      </c>
      <c r="B104" s="169"/>
      <c r="C104" s="169"/>
      <c r="D104" s="32">
        <v>2807.79</v>
      </c>
    </row>
    <row r="106" spans="1:4" ht="15">
      <c r="A106" s="169" t="s">
        <v>321</v>
      </c>
      <c r="B106" s="169"/>
      <c r="C106" s="169"/>
      <c r="D106" s="169"/>
    </row>
    <row r="107" spans="1:4" ht="30">
      <c r="A107" s="36" t="s">
        <v>35</v>
      </c>
      <c r="B107" s="36" t="s">
        <v>2</v>
      </c>
      <c r="C107" s="36" t="s">
        <v>255</v>
      </c>
      <c r="D107" s="36" t="s">
        <v>256</v>
      </c>
    </row>
    <row r="108" spans="1:4" ht="30">
      <c r="A108" s="55" t="s">
        <v>320</v>
      </c>
      <c r="B108" s="55">
        <v>1</v>
      </c>
      <c r="C108" s="31">
        <v>2161.58</v>
      </c>
      <c r="D108" s="31">
        <v>2161.58</v>
      </c>
    </row>
    <row r="109" spans="1:4" ht="30">
      <c r="A109" s="55" t="s">
        <v>320</v>
      </c>
      <c r="B109" s="55">
        <v>2</v>
      </c>
      <c r="C109" s="31">
        <v>141.97</v>
      </c>
      <c r="D109" s="31">
        <v>283.95</v>
      </c>
    </row>
    <row r="110" spans="1:4" ht="30">
      <c r="A110" s="55" t="s">
        <v>320</v>
      </c>
      <c r="B110" s="55">
        <v>2</v>
      </c>
      <c r="C110" s="31">
        <v>1403.89</v>
      </c>
      <c r="D110" s="31">
        <v>2807.79</v>
      </c>
    </row>
    <row r="111" spans="1:4" ht="15">
      <c r="A111" s="169" t="s">
        <v>261</v>
      </c>
      <c r="B111" s="169"/>
      <c r="C111" s="169"/>
      <c r="D111" s="32">
        <v>5253.32</v>
      </c>
    </row>
    <row r="113" spans="1:4" ht="15">
      <c r="A113" s="169" t="s">
        <v>53</v>
      </c>
      <c r="B113" s="169"/>
      <c r="C113" s="169"/>
      <c r="D113" s="169"/>
    </row>
    <row r="114" spans="1:4" ht="30">
      <c r="A114" s="36" t="s">
        <v>35</v>
      </c>
      <c r="B114" s="36" t="s">
        <v>2</v>
      </c>
      <c r="C114" s="36" t="s">
        <v>255</v>
      </c>
      <c r="D114" s="36" t="s">
        <v>256</v>
      </c>
    </row>
    <row r="115" spans="1:4" ht="30">
      <c r="A115" s="55" t="s">
        <v>322</v>
      </c>
      <c r="B115" s="55">
        <v>3</v>
      </c>
      <c r="C115" s="31">
        <v>8.35</v>
      </c>
      <c r="D115" s="31">
        <v>25.04</v>
      </c>
    </row>
    <row r="116" spans="1:4" ht="15">
      <c r="A116" s="55" t="s">
        <v>323</v>
      </c>
      <c r="B116" s="55">
        <v>40</v>
      </c>
      <c r="C116" s="31">
        <v>58.17</v>
      </c>
      <c r="D116" s="31">
        <v>2326.87</v>
      </c>
    </row>
    <row r="117" spans="1:4" ht="30">
      <c r="A117" s="55" t="s">
        <v>324</v>
      </c>
      <c r="B117" s="55">
        <v>6</v>
      </c>
      <c r="C117" s="31">
        <v>106.46</v>
      </c>
      <c r="D117" s="31">
        <v>638.79</v>
      </c>
    </row>
    <row r="118" spans="1:4" ht="30">
      <c r="A118" s="55" t="s">
        <v>325</v>
      </c>
      <c r="B118" s="55">
        <v>6</v>
      </c>
      <c r="C118" s="31">
        <v>303.33</v>
      </c>
      <c r="D118" s="31">
        <v>1819.98</v>
      </c>
    </row>
    <row r="119" spans="1:4" ht="15">
      <c r="A119" s="55" t="s">
        <v>326</v>
      </c>
      <c r="B119" s="55">
        <v>63</v>
      </c>
      <c r="C119" s="31">
        <v>130.42</v>
      </c>
      <c r="D119" s="31">
        <v>8216.69</v>
      </c>
    </row>
    <row r="120" spans="1:4" ht="45">
      <c r="A120" s="55" t="s">
        <v>327</v>
      </c>
      <c r="B120" s="55">
        <v>20</v>
      </c>
      <c r="C120" s="31">
        <v>63.5</v>
      </c>
      <c r="D120" s="31">
        <v>1270.05</v>
      </c>
    </row>
    <row r="121" spans="1:4" ht="30">
      <c r="A121" s="55" t="s">
        <v>328</v>
      </c>
      <c r="B121" s="55">
        <v>12</v>
      </c>
      <c r="C121" s="31">
        <v>192.84</v>
      </c>
      <c r="D121" s="31">
        <v>2314.14</v>
      </c>
    </row>
    <row r="122" spans="1:4" ht="15">
      <c r="A122" s="55" t="s">
        <v>329</v>
      </c>
      <c r="B122" s="55">
        <v>4</v>
      </c>
      <c r="C122" s="31">
        <v>962.71</v>
      </c>
      <c r="D122" s="31">
        <v>3850.85</v>
      </c>
    </row>
    <row r="123" spans="1:4" ht="30">
      <c r="A123" s="55" t="s">
        <v>330</v>
      </c>
      <c r="B123" s="55">
        <v>45</v>
      </c>
      <c r="C123" s="31">
        <v>51.18</v>
      </c>
      <c r="D123" s="31">
        <v>2303.19</v>
      </c>
    </row>
    <row r="124" spans="1:4" ht="30">
      <c r="A124" s="55" t="s">
        <v>331</v>
      </c>
      <c r="B124" s="55">
        <v>5</v>
      </c>
      <c r="C124" s="31">
        <v>550.73</v>
      </c>
      <c r="D124" s="31">
        <v>2753.67</v>
      </c>
    </row>
    <row r="125" spans="1:4" ht="30">
      <c r="A125" s="55" t="s">
        <v>332</v>
      </c>
      <c r="B125" s="55">
        <v>6</v>
      </c>
      <c r="C125" s="31">
        <v>525.13</v>
      </c>
      <c r="D125" s="31">
        <v>3150.81</v>
      </c>
    </row>
    <row r="126" spans="1:4" ht="15">
      <c r="A126" s="55" t="s">
        <v>333</v>
      </c>
      <c r="B126" s="55">
        <v>6</v>
      </c>
      <c r="C126" s="31">
        <v>21.28</v>
      </c>
      <c r="D126" s="31">
        <v>127.67</v>
      </c>
    </row>
    <row r="127" spans="1:4" ht="30">
      <c r="A127" s="55" t="s">
        <v>334</v>
      </c>
      <c r="B127" s="55">
        <v>2</v>
      </c>
      <c r="C127" s="31">
        <v>14.04</v>
      </c>
      <c r="D127" s="31">
        <v>28.09</v>
      </c>
    </row>
    <row r="128" spans="1:4" ht="15">
      <c r="A128" s="55" t="s">
        <v>335</v>
      </c>
      <c r="B128" s="55">
        <v>8</v>
      </c>
      <c r="C128" s="31">
        <v>15.41</v>
      </c>
      <c r="D128" s="31">
        <v>123.29</v>
      </c>
    </row>
    <row r="129" spans="1:4" ht="15">
      <c r="A129" s="55" t="s">
        <v>336</v>
      </c>
      <c r="B129" s="55">
        <v>8</v>
      </c>
      <c r="C129" s="31">
        <v>23.54</v>
      </c>
      <c r="D129" s="31">
        <v>188.31</v>
      </c>
    </row>
    <row r="130" spans="1:4" ht="15">
      <c r="A130" s="55" t="s">
        <v>337</v>
      </c>
      <c r="B130" s="55">
        <v>10</v>
      </c>
      <c r="C130" s="31">
        <v>39.53</v>
      </c>
      <c r="D130" s="31">
        <v>395.34</v>
      </c>
    </row>
    <row r="131" spans="1:4" ht="15">
      <c r="A131" s="55" t="s">
        <v>338</v>
      </c>
      <c r="B131" s="55">
        <v>10</v>
      </c>
      <c r="C131" s="31">
        <v>18.06</v>
      </c>
      <c r="D131" s="31">
        <v>180.6</v>
      </c>
    </row>
    <row r="132" spans="1:4" ht="15">
      <c r="A132" s="55" t="s">
        <v>339</v>
      </c>
      <c r="B132" s="55">
        <v>4</v>
      </c>
      <c r="C132" s="31">
        <v>36.45</v>
      </c>
      <c r="D132" s="31">
        <v>145.82</v>
      </c>
    </row>
    <row r="133" spans="1:4" ht="15">
      <c r="A133" s="55" t="s">
        <v>340</v>
      </c>
      <c r="B133" s="55">
        <v>6</v>
      </c>
      <c r="C133" s="31">
        <v>21.58</v>
      </c>
      <c r="D133" s="31">
        <v>129.49</v>
      </c>
    </row>
    <row r="134" spans="1:4" ht="15">
      <c r="A134" s="55" t="s">
        <v>341</v>
      </c>
      <c r="B134" s="55">
        <v>6</v>
      </c>
      <c r="C134" s="31">
        <v>12.58</v>
      </c>
      <c r="D134" s="31">
        <v>50.33</v>
      </c>
    </row>
    <row r="135" spans="1:4" ht="15">
      <c r="A135" s="55" t="s">
        <v>342</v>
      </c>
      <c r="B135" s="55">
        <v>4</v>
      </c>
      <c r="C135" s="31">
        <v>30.49</v>
      </c>
      <c r="D135" s="31">
        <v>121.95</v>
      </c>
    </row>
    <row r="136" spans="1:4" ht="15">
      <c r="A136" s="55" t="s">
        <v>343</v>
      </c>
      <c r="B136" s="55">
        <v>6</v>
      </c>
      <c r="C136" s="31">
        <v>26.89</v>
      </c>
      <c r="D136" s="31">
        <v>161.36</v>
      </c>
    </row>
    <row r="137" spans="1:4" ht="15">
      <c r="A137" s="55" t="s">
        <v>344</v>
      </c>
      <c r="B137" s="55">
        <v>10</v>
      </c>
      <c r="C137" s="31">
        <v>12.29</v>
      </c>
      <c r="D137" s="31">
        <v>122.93</v>
      </c>
    </row>
    <row r="138" spans="1:4" ht="15">
      <c r="A138" s="55" t="s">
        <v>345</v>
      </c>
      <c r="B138" s="55">
        <v>6</v>
      </c>
      <c r="C138" s="31">
        <v>29.13</v>
      </c>
      <c r="D138" s="31">
        <v>174.78</v>
      </c>
    </row>
    <row r="139" spans="1:4" ht="15">
      <c r="A139" s="55" t="s">
        <v>346</v>
      </c>
      <c r="B139" s="55">
        <v>10</v>
      </c>
      <c r="C139" s="31">
        <v>29.1</v>
      </c>
      <c r="D139" s="31">
        <v>291.04</v>
      </c>
    </row>
    <row r="140" spans="1:4" ht="15">
      <c r="A140" s="55" t="s">
        <v>347</v>
      </c>
      <c r="B140" s="55">
        <v>10</v>
      </c>
      <c r="C140" s="31">
        <v>9.37</v>
      </c>
      <c r="D140" s="31">
        <v>93.69</v>
      </c>
    </row>
    <row r="141" spans="1:4" ht="15">
      <c r="A141" s="55" t="s">
        <v>348</v>
      </c>
      <c r="B141" s="55">
        <v>6</v>
      </c>
      <c r="C141" s="31">
        <v>86.5</v>
      </c>
      <c r="D141" s="31">
        <v>519.03</v>
      </c>
    </row>
    <row r="142" spans="1:4" ht="15">
      <c r="A142" s="55" t="s">
        <v>349</v>
      </c>
      <c r="B142" s="55">
        <v>2</v>
      </c>
      <c r="C142" s="31">
        <v>2.57</v>
      </c>
      <c r="D142" s="31">
        <v>5.14</v>
      </c>
    </row>
    <row r="143" spans="1:4" ht="15">
      <c r="A143" s="55" t="s">
        <v>350</v>
      </c>
      <c r="B143" s="55">
        <v>3</v>
      </c>
      <c r="C143" s="31">
        <v>15.49</v>
      </c>
      <c r="D143" s="31">
        <v>46.48</v>
      </c>
    </row>
    <row r="144" spans="1:4" ht="15">
      <c r="A144" s="55" t="s">
        <v>351</v>
      </c>
      <c r="B144" s="55">
        <v>10</v>
      </c>
      <c r="C144" s="31">
        <v>7.6</v>
      </c>
      <c r="D144" s="31">
        <v>75.98</v>
      </c>
    </row>
    <row r="145" spans="1:4" ht="15">
      <c r="A145" s="55" t="s">
        <v>352</v>
      </c>
      <c r="B145" s="55">
        <v>10</v>
      </c>
      <c r="C145" s="31">
        <v>31.9</v>
      </c>
      <c r="D145" s="31">
        <v>318.98</v>
      </c>
    </row>
    <row r="146" spans="1:4" ht="15">
      <c r="A146" s="55" t="s">
        <v>353</v>
      </c>
      <c r="B146" s="55">
        <v>12</v>
      </c>
      <c r="C146" s="31">
        <v>71.68</v>
      </c>
      <c r="D146" s="31">
        <v>860.19</v>
      </c>
    </row>
    <row r="147" spans="1:4" ht="15">
      <c r="A147" s="55" t="s">
        <v>354</v>
      </c>
      <c r="B147" s="55">
        <v>12</v>
      </c>
      <c r="C147" s="31">
        <v>61.64</v>
      </c>
      <c r="D147" s="31">
        <v>739.66</v>
      </c>
    </row>
    <row r="148" spans="1:4" ht="15">
      <c r="A148" s="55" t="s">
        <v>355</v>
      </c>
      <c r="B148" s="55">
        <v>14</v>
      </c>
      <c r="C148" s="31">
        <v>68.07</v>
      </c>
      <c r="D148" s="31">
        <v>952.94</v>
      </c>
    </row>
    <row r="149" spans="1:4" ht="15">
      <c r="A149" s="55" t="s">
        <v>356</v>
      </c>
      <c r="B149" s="55">
        <v>3</v>
      </c>
      <c r="C149" s="31">
        <v>10.58</v>
      </c>
      <c r="D149" s="31">
        <v>31.74</v>
      </c>
    </row>
    <row r="150" spans="1:4" ht="15">
      <c r="A150" s="55" t="s">
        <v>357</v>
      </c>
      <c r="B150" s="55">
        <v>6</v>
      </c>
      <c r="C150" s="31">
        <v>11.47</v>
      </c>
      <c r="D150" s="31">
        <v>68.81</v>
      </c>
    </row>
    <row r="151" spans="1:4" ht="15">
      <c r="A151" s="55" t="s">
        <v>358</v>
      </c>
      <c r="B151" s="55">
        <v>6</v>
      </c>
      <c r="C151" s="31">
        <v>8.71</v>
      </c>
      <c r="D151" s="31">
        <v>52.26</v>
      </c>
    </row>
    <row r="152" spans="1:4" ht="15">
      <c r="A152" s="55" t="s">
        <v>359</v>
      </c>
      <c r="B152" s="55">
        <v>10</v>
      </c>
      <c r="C152" s="31">
        <v>80.18</v>
      </c>
      <c r="D152" s="31">
        <v>801.81</v>
      </c>
    </row>
    <row r="153" spans="1:4" ht="30">
      <c r="A153" s="55" t="s">
        <v>360</v>
      </c>
      <c r="B153" s="55">
        <v>10</v>
      </c>
      <c r="C153" s="31">
        <v>20.98</v>
      </c>
      <c r="D153" s="31">
        <v>209.79</v>
      </c>
    </row>
    <row r="154" spans="1:4" ht="30">
      <c r="A154" s="55" t="s">
        <v>361</v>
      </c>
      <c r="B154" s="55">
        <v>20</v>
      </c>
      <c r="C154" s="31">
        <v>33.34</v>
      </c>
      <c r="D154" s="31">
        <v>666.83</v>
      </c>
    </row>
    <row r="155" spans="1:4" ht="15">
      <c r="A155" s="55" t="s">
        <v>362</v>
      </c>
      <c r="B155" s="55">
        <v>3</v>
      </c>
      <c r="C155" s="31">
        <v>107.96</v>
      </c>
      <c r="D155" s="31">
        <v>323.88</v>
      </c>
    </row>
    <row r="156" spans="1:4" ht="15">
      <c r="A156" s="55" t="s">
        <v>363</v>
      </c>
      <c r="B156" s="55">
        <v>4</v>
      </c>
      <c r="C156" s="31">
        <v>41.41</v>
      </c>
      <c r="D156" s="31">
        <v>165.64</v>
      </c>
    </row>
    <row r="157" spans="1:4" ht="15">
      <c r="A157" s="169" t="s">
        <v>261</v>
      </c>
      <c r="B157" s="169"/>
      <c r="C157" s="169"/>
      <c r="D157" s="32">
        <v>36843.93</v>
      </c>
    </row>
  </sheetData>
  <sheetProtection/>
  <mergeCells count="31">
    <mergeCell ref="A157:C157"/>
    <mergeCell ref="A88:D88"/>
    <mergeCell ref="A93:C93"/>
    <mergeCell ref="A95:D95"/>
    <mergeCell ref="A99:C99"/>
    <mergeCell ref="A101:D101"/>
    <mergeCell ref="A104:C104"/>
    <mergeCell ref="A80:C80"/>
    <mergeCell ref="A82:D82"/>
    <mergeCell ref="A86:C86"/>
    <mergeCell ref="A106:D106"/>
    <mergeCell ref="A111:C111"/>
    <mergeCell ref="A113:D113"/>
    <mergeCell ref="A52:C52"/>
    <mergeCell ref="A54:D54"/>
    <mergeCell ref="A58:C58"/>
    <mergeCell ref="A60:D60"/>
    <mergeCell ref="A65:C65"/>
    <mergeCell ref="A67:D67"/>
    <mergeCell ref="A22:C22"/>
    <mergeCell ref="A24:D24"/>
    <mergeCell ref="A33:C33"/>
    <mergeCell ref="A35:D35"/>
    <mergeCell ref="A42:C42"/>
    <mergeCell ref="A44:D44"/>
    <mergeCell ref="A1:D1"/>
    <mergeCell ref="A2:D2"/>
    <mergeCell ref="F5:G5"/>
    <mergeCell ref="A4:D4"/>
    <mergeCell ref="A10:C10"/>
    <mergeCell ref="A12:D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0.421875" style="0" customWidth="1"/>
    <col min="2" max="2" width="11.140625" style="0" bestFit="1" customWidth="1"/>
    <col min="3" max="3" width="8.57421875" style="0" bestFit="1" customWidth="1"/>
    <col min="4" max="4" width="12.28125" style="0" bestFit="1" customWidth="1"/>
  </cols>
  <sheetData>
    <row r="2" spans="1:4" ht="30">
      <c r="A2" s="60" t="s">
        <v>35</v>
      </c>
      <c r="B2" s="60" t="s">
        <v>364</v>
      </c>
      <c r="C2" s="60" t="s">
        <v>212</v>
      </c>
      <c r="D2" s="60" t="s">
        <v>36</v>
      </c>
    </row>
    <row r="3" spans="1:4" ht="15">
      <c r="A3" s="61" t="s">
        <v>365</v>
      </c>
      <c r="B3" s="61">
        <v>3</v>
      </c>
      <c r="C3" s="61" t="s">
        <v>212</v>
      </c>
      <c r="D3" s="61" t="s">
        <v>366</v>
      </c>
    </row>
    <row r="4" spans="1:4" ht="15">
      <c r="A4" s="61" t="s">
        <v>367</v>
      </c>
      <c r="B4" s="87">
        <v>4000</v>
      </c>
      <c r="C4" s="61" t="s">
        <v>212</v>
      </c>
      <c r="D4" s="61"/>
    </row>
    <row r="5" spans="1:4" ht="15">
      <c r="A5" s="61" t="s">
        <v>368</v>
      </c>
      <c r="B5" s="61">
        <v>1</v>
      </c>
      <c r="C5" s="61" t="s">
        <v>212</v>
      </c>
      <c r="D5" s="31">
        <v>400000</v>
      </c>
    </row>
    <row r="6" spans="1:4" ht="15">
      <c r="A6" s="61" t="s">
        <v>369</v>
      </c>
      <c r="B6" s="61"/>
      <c r="C6" s="61"/>
      <c r="D6" s="31">
        <v>8541.52</v>
      </c>
    </row>
    <row r="8" spans="1:4" ht="15">
      <c r="A8" s="61" t="s">
        <v>370</v>
      </c>
      <c r="B8" s="61">
        <v>5</v>
      </c>
      <c r="C8" s="61" t="s">
        <v>371</v>
      </c>
      <c r="D8" s="61" t="s">
        <v>366</v>
      </c>
    </row>
    <row r="9" spans="1:4" ht="15">
      <c r="A9" s="61" t="s">
        <v>372</v>
      </c>
      <c r="B9" s="61"/>
      <c r="C9" s="61" t="s">
        <v>373</v>
      </c>
      <c r="D9" s="31">
        <v>6.35</v>
      </c>
    </row>
    <row r="10" spans="1:4" ht="15">
      <c r="A10" s="61" t="s">
        <v>374</v>
      </c>
      <c r="B10" s="61"/>
      <c r="C10" s="61"/>
      <c r="D10" s="61"/>
    </row>
    <row r="12" ht="18">
      <c r="A12" s="3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0.57421875" style="0" bestFit="1" customWidth="1"/>
    <col min="2" max="2" width="12.140625" style="0" bestFit="1" customWidth="1"/>
    <col min="3" max="3" width="13.421875" style="0" bestFit="1" customWidth="1"/>
    <col min="4" max="4" width="16.28125" style="0" bestFit="1" customWidth="1"/>
    <col min="5" max="5" width="18.421875" style="28" bestFit="1" customWidth="1"/>
    <col min="6" max="6" width="12.140625" style="28" bestFit="1" customWidth="1"/>
    <col min="7" max="7" width="14.7109375" style="28" bestFit="1" customWidth="1"/>
    <col min="8" max="8" width="16.28125" style="28" bestFit="1" customWidth="1"/>
    <col min="9" max="9" width="18.140625" style="28" bestFit="1" customWidth="1"/>
  </cols>
  <sheetData>
    <row r="1" spans="1:4" ht="15">
      <c r="A1" s="167" t="s">
        <v>399</v>
      </c>
      <c r="B1" s="167"/>
      <c r="C1" s="167"/>
      <c r="D1" s="167"/>
    </row>
    <row r="2" spans="1:4" ht="15">
      <c r="A2" s="56" t="s">
        <v>377</v>
      </c>
      <c r="B2" s="56" t="s">
        <v>378</v>
      </c>
      <c r="C2" s="56" t="s">
        <v>398</v>
      </c>
      <c r="D2" s="56" t="s">
        <v>379</v>
      </c>
    </row>
    <row r="3" spans="1:4" ht="15">
      <c r="A3" s="49" t="s">
        <v>380</v>
      </c>
      <c r="B3" s="50">
        <v>7149.3983595768805</v>
      </c>
      <c r="C3" s="51">
        <v>5</v>
      </c>
      <c r="D3" s="50">
        <f>B3*C3</f>
        <v>35746.9917978844</v>
      </c>
    </row>
    <row r="4" spans="1:4" ht="15">
      <c r="A4" s="49" t="s">
        <v>381</v>
      </c>
      <c r="B4" s="50">
        <v>4555.84857887073</v>
      </c>
      <c r="C4" s="51">
        <v>2</v>
      </c>
      <c r="D4" s="50">
        <f aca="true" t="shared" si="0" ref="D4:D16">B4*C4</f>
        <v>9111.69715774146</v>
      </c>
    </row>
    <row r="5" spans="1:4" ht="15">
      <c r="A5" s="49" t="s">
        <v>382</v>
      </c>
      <c r="B5" s="50">
        <v>4870.488592866959</v>
      </c>
      <c r="C5" s="51">
        <v>2</v>
      </c>
      <c r="D5" s="50">
        <f t="shared" si="0"/>
        <v>9740.977185733918</v>
      </c>
    </row>
    <row r="6" spans="1:4" ht="15">
      <c r="A6" s="49" t="s">
        <v>383</v>
      </c>
      <c r="B6" s="50">
        <v>3501.9945252097295</v>
      </c>
      <c r="C6" s="51">
        <v>16</v>
      </c>
      <c r="D6" s="50">
        <f t="shared" si="0"/>
        <v>56031.91240335567</v>
      </c>
    </row>
    <row r="7" spans="1:4" ht="15">
      <c r="A7" s="49" t="s">
        <v>384</v>
      </c>
      <c r="B7" s="50">
        <v>3827.51001354303</v>
      </c>
      <c r="C7" s="51">
        <v>9</v>
      </c>
      <c r="D7" s="50">
        <f t="shared" si="0"/>
        <v>34447.59012188727</v>
      </c>
    </row>
    <row r="8" spans="1:4" ht="15">
      <c r="A8" s="49" t="s">
        <v>385</v>
      </c>
      <c r="B8" s="50">
        <v>3722.59257178868</v>
      </c>
      <c r="C8" s="51">
        <v>2</v>
      </c>
      <c r="D8" s="50">
        <f t="shared" si="0"/>
        <v>7445.18514357736</v>
      </c>
    </row>
    <row r="9" spans="1:4" ht="15">
      <c r="A9" s="49" t="s">
        <v>386</v>
      </c>
      <c r="B9" s="50">
        <v>4250.02499931987</v>
      </c>
      <c r="C9" s="51">
        <v>2</v>
      </c>
      <c r="D9" s="50">
        <f t="shared" si="0"/>
        <v>8500.04999863974</v>
      </c>
    </row>
    <row r="10" spans="1:4" ht="15">
      <c r="A10" s="49" t="s">
        <v>387</v>
      </c>
      <c r="B10" s="50">
        <v>4125.93976802824</v>
      </c>
      <c r="C10" s="51">
        <v>4</v>
      </c>
      <c r="D10" s="50">
        <f t="shared" si="0"/>
        <v>16503.75907211296</v>
      </c>
    </row>
    <row r="11" spans="1:4" ht="15">
      <c r="A11" s="49" t="s">
        <v>388</v>
      </c>
      <c r="B11" s="50">
        <v>9071.92205479187</v>
      </c>
      <c r="C11" s="51">
        <v>1</v>
      </c>
      <c r="D11" s="50">
        <f t="shared" si="0"/>
        <v>9071.92205479187</v>
      </c>
    </row>
    <row r="12" spans="1:4" ht="15">
      <c r="A12" s="49" t="s">
        <v>389</v>
      </c>
      <c r="B12" s="50">
        <v>7907.666025846811</v>
      </c>
      <c r="C12" s="51">
        <v>1</v>
      </c>
      <c r="D12" s="50">
        <f t="shared" si="0"/>
        <v>7907.666025846811</v>
      </c>
    </row>
    <row r="13" spans="1:4" ht="15">
      <c r="A13" s="49" t="s">
        <v>390</v>
      </c>
      <c r="B13" s="50">
        <v>4417.42494251508</v>
      </c>
      <c r="C13" s="51">
        <v>1</v>
      </c>
      <c r="D13" s="50">
        <f t="shared" si="0"/>
        <v>4417.42494251508</v>
      </c>
    </row>
    <row r="14" spans="1:4" ht="15">
      <c r="A14" s="49" t="s">
        <v>391</v>
      </c>
      <c r="B14" s="50">
        <v>4032.9273205568106</v>
      </c>
      <c r="C14" s="51">
        <v>1</v>
      </c>
      <c r="D14" s="50">
        <f t="shared" si="0"/>
        <v>4032.9273205568106</v>
      </c>
    </row>
    <row r="15" spans="1:4" ht="15">
      <c r="A15" s="49" t="s">
        <v>392</v>
      </c>
      <c r="B15" s="50">
        <v>3918.0890502333605</v>
      </c>
      <c r="C15" s="51">
        <v>1</v>
      </c>
      <c r="D15" s="50">
        <f t="shared" si="0"/>
        <v>3918.0890502333605</v>
      </c>
    </row>
    <row r="16" spans="1:8" ht="15">
      <c r="A16" s="91" t="s">
        <v>408</v>
      </c>
      <c r="B16" s="92">
        <v>990</v>
      </c>
      <c r="C16" s="93">
        <v>55</v>
      </c>
      <c r="D16" s="92">
        <f t="shared" si="0"/>
        <v>54450</v>
      </c>
      <c r="E16" s="56" t="s">
        <v>400</v>
      </c>
      <c r="F16" s="56" t="s">
        <v>402</v>
      </c>
      <c r="G16" s="52"/>
      <c r="H16" s="53"/>
    </row>
    <row r="17" spans="1:9" ht="30" customHeight="1">
      <c r="A17" s="171" t="s">
        <v>261</v>
      </c>
      <c r="B17" s="172"/>
      <c r="C17" s="173"/>
      <c r="D17" s="57">
        <f>SUM(D3:D16)</f>
        <v>261326.19227487675</v>
      </c>
      <c r="E17" s="58">
        <f>D17/6400/30</f>
        <v>1.3610739180983165</v>
      </c>
      <c r="F17" s="79">
        <f>E17/4</f>
        <v>0.3402684795245791</v>
      </c>
      <c r="G17" s="52"/>
      <c r="H17" s="52"/>
      <c r="I17" s="52"/>
    </row>
    <row r="18" spans="5:9" ht="30" customHeight="1">
      <c r="E18" s="52"/>
      <c r="F18" s="52"/>
      <c r="G18" s="52"/>
      <c r="H18" s="52"/>
      <c r="I18" s="52"/>
    </row>
    <row r="19" spans="1:9" ht="15">
      <c r="A19" s="156" t="s">
        <v>401</v>
      </c>
      <c r="B19" s="156"/>
      <c r="C19" s="156"/>
      <c r="D19" s="156"/>
      <c r="E19" s="156"/>
      <c r="F19" s="156"/>
      <c r="G19" s="52"/>
      <c r="H19" s="52"/>
      <c r="I19" s="52"/>
    </row>
    <row r="20" spans="1:9" ht="15">
      <c r="A20" s="170" t="s">
        <v>393</v>
      </c>
      <c r="B20" s="170"/>
      <c r="C20" s="170"/>
      <c r="D20" s="170"/>
      <c r="E20" s="170"/>
      <c r="F20" s="170"/>
      <c r="G20" s="52"/>
      <c r="H20" s="52"/>
      <c r="I20" s="52"/>
    </row>
    <row r="21" spans="1:6" ht="15">
      <c r="A21" s="170" t="s">
        <v>394</v>
      </c>
      <c r="B21" s="170"/>
      <c r="C21" s="170"/>
      <c r="D21" s="170"/>
      <c r="E21" s="170"/>
      <c r="F21" s="170"/>
    </row>
    <row r="22" spans="1:6" ht="15">
      <c r="A22" s="170" t="s">
        <v>395</v>
      </c>
      <c r="B22" s="170"/>
      <c r="C22" s="170"/>
      <c r="D22" s="170"/>
      <c r="E22" s="170"/>
      <c r="F22" s="170"/>
    </row>
    <row r="23" spans="1:6" ht="15">
      <c r="A23" s="170" t="s">
        <v>396</v>
      </c>
      <c r="B23" s="170"/>
      <c r="C23" s="170"/>
      <c r="D23" s="170"/>
      <c r="E23" s="170"/>
      <c r="F23" s="170"/>
    </row>
    <row r="24" spans="1:6" ht="15">
      <c r="A24" s="170" t="s">
        <v>397</v>
      </c>
      <c r="B24" s="170"/>
      <c r="C24" s="170"/>
      <c r="D24" s="170"/>
      <c r="E24" s="170"/>
      <c r="F24" s="170"/>
    </row>
  </sheetData>
  <sheetProtection/>
  <mergeCells count="8">
    <mergeCell ref="A20:F20"/>
    <mergeCell ref="A21:F21"/>
    <mergeCell ref="A22:F22"/>
    <mergeCell ref="A23:F23"/>
    <mergeCell ref="A24:F24"/>
    <mergeCell ref="A1:D1"/>
    <mergeCell ref="A17:C17"/>
    <mergeCell ref="A19:F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01958346152</dc:creator>
  <cp:keywords/>
  <dc:description/>
  <cp:lastModifiedBy>03321179105</cp:lastModifiedBy>
  <cp:lastPrinted>2023-08-24T12:11:55Z</cp:lastPrinted>
  <dcterms:created xsi:type="dcterms:W3CDTF">2023-08-21T16:52:11Z</dcterms:created>
  <dcterms:modified xsi:type="dcterms:W3CDTF">2024-03-07T18:02:29Z</dcterms:modified>
  <cp:category/>
  <cp:version/>
  <cp:contentType/>
  <cp:contentStatus/>
</cp:coreProperties>
</file>